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https://ameriluxinternational-my.sharepoint.com/personal/william_schroeder_amerilux_com/Documents/Desktop/Desktop Excel/"/>
    </mc:Choice>
  </mc:AlternateContent>
  <xr:revisionPtr revIDLastSave="257" documentId="8_{1F920D11-2A1F-4413-A27A-E08D97A95A23}" xr6:coauthVersionLast="47" xr6:coauthVersionMax="47" xr10:uidLastSave="{1406A201-A918-49C2-B7D1-B51A80E3AEE4}"/>
  <bookViews>
    <workbookView xWindow="-120" yWindow="-120" windowWidth="29040" windowHeight="15720" xr2:uid="{1DCB0028-CD20-45A2-8478-43051FBD5319}"/>
  </bookViews>
  <sheets>
    <sheet name="DuxxBak" sheetId="1" r:id="rId1"/>
    <sheet name="OPTIMA Dekk LT" sheetId="3" r:id="rId2"/>
    <sheet name="OPTIMA Dekk" sheetId="2" r:id="rId3"/>
    <sheet name="I.Dekk" sheetId="4" r:id="rId4"/>
    <sheet name="I.Dekk HD" sheetId="5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52" i="5" l="1" a="1"/>
  <c r="T52" i="5"/>
  <c r="T51" i="5" a="1"/>
  <c r="T51" i="5" s="1"/>
  <c r="T51" i="4" a="1"/>
  <c r="T51" i="4"/>
  <c r="T52" i="4" a="1"/>
  <c r="T52" i="4" s="1"/>
  <c r="U51" i="2" a="1"/>
  <c r="U51" i="2"/>
  <c r="U52" i="2" a="1"/>
  <c r="U52" i="2" s="1"/>
  <c r="U51" i="3" a="1"/>
  <c r="U51" i="3" s="1"/>
  <c r="V51" i="3" s="1"/>
  <c r="U52" i="3" a="1"/>
  <c r="U52" i="3" s="1"/>
  <c r="V52" i="3" s="1"/>
  <c r="S52" i="1" a="1"/>
  <c r="S52" i="1" s="1"/>
  <c r="S51" i="1" a="1"/>
  <c r="S51" i="1" s="1"/>
  <c r="C7" i="5" a="1"/>
  <c r="C7" i="5" s="1"/>
  <c r="C7" i="4" a="1"/>
  <c r="C7" i="4" s="1"/>
  <c r="C7" i="3" a="1"/>
  <c r="C7" i="3" s="1"/>
  <c r="C7" i="2" a="1"/>
  <c r="C7" i="2" s="1"/>
  <c r="C7" i="1" a="1"/>
  <c r="C7" i="1" s="1"/>
  <c r="H16" i="5"/>
  <c r="H14" i="5"/>
  <c r="H13" i="5"/>
  <c r="H9" i="5" a="1"/>
  <c r="H9" i="5" s="1"/>
  <c r="H10" i="5" s="1"/>
  <c r="H16" i="4"/>
  <c r="H14" i="4"/>
  <c r="H13" i="4"/>
  <c r="H9" i="4" a="1"/>
  <c r="H9" i="4" s="1"/>
  <c r="H10" i="4" s="1"/>
  <c r="H16" i="3"/>
  <c r="H14" i="3"/>
  <c r="H13" i="3"/>
  <c r="H9" i="3" a="1"/>
  <c r="H9" i="3" s="1"/>
  <c r="H16" i="2"/>
  <c r="H14" i="2"/>
  <c r="H13" i="2"/>
  <c r="H9" i="2" a="1"/>
  <c r="H9" i="2" s="1"/>
  <c r="H10" i="1"/>
  <c r="T26" i="3"/>
  <c r="T35" i="3" a="1"/>
  <c r="T35" i="3" s="1"/>
  <c r="U57" i="3" a="1"/>
  <c r="U57" i="3" s="1"/>
  <c r="G16" i="5"/>
  <c r="G10" i="5"/>
  <c r="G16" i="4"/>
  <c r="G10" i="4"/>
  <c r="G16" i="3"/>
  <c r="G10" i="3"/>
  <c r="G16" i="2"/>
  <c r="G10" i="2"/>
  <c r="G16" i="1"/>
  <c r="H9" i="1" a="1"/>
  <c r="H9" i="1" s="1"/>
  <c r="H10" i="3" l="1"/>
  <c r="H10" i="2"/>
  <c r="T17" i="3"/>
  <c r="U17" i="3"/>
  <c r="T19" i="3"/>
  <c r="U19" i="3"/>
  <c r="T52" i="1"/>
  <c r="T51" i="1"/>
  <c r="U52" i="5"/>
  <c r="U51" i="5"/>
  <c r="T57" i="4" a="1"/>
  <c r="T57" i="4" s="1"/>
  <c r="U52" i="4"/>
  <c r="U51" i="4"/>
  <c r="V52" i="2"/>
  <c r="V51" i="2"/>
  <c r="T57" i="5" a="1"/>
  <c r="T57" i="5" s="1"/>
  <c r="S17" i="5" l="1"/>
  <c r="T17" i="5"/>
  <c r="S17" i="4"/>
  <c r="T17" i="4"/>
  <c r="V42" i="3"/>
  <c r="V41" i="3"/>
  <c r="U21" i="3"/>
  <c r="U23" i="3" s="1"/>
  <c r="V37" i="3"/>
  <c r="V43" i="3"/>
  <c r="V40" i="3"/>
  <c r="V39" i="3"/>
  <c r="U33" i="3"/>
  <c r="T33" i="3"/>
  <c r="U42" i="3"/>
  <c r="U37" i="3"/>
  <c r="U43" i="3"/>
  <c r="U41" i="3"/>
  <c r="T21" i="3"/>
  <c r="T23" i="3" s="1"/>
  <c r="U55" i="3" s="1" a="1"/>
  <c r="U55" i="3" s="1"/>
  <c r="U40" i="3"/>
  <c r="U57" i="2" a="1"/>
  <c r="U57" i="2" s="1"/>
  <c r="C23" i="5"/>
  <c r="C20" i="5"/>
  <c r="C23" i="4"/>
  <c r="C20" i="4"/>
  <c r="C24" i="2"/>
  <c r="C18" i="2"/>
  <c r="H16" i="1"/>
  <c r="H14" i="1"/>
  <c r="C29" i="1"/>
  <c r="C24" i="3"/>
  <c r="C18" i="3"/>
  <c r="S57" i="1" a="1"/>
  <c r="S57" i="1" s="1"/>
  <c r="H13" i="1"/>
  <c r="G10" i="1"/>
  <c r="C28" i="1"/>
  <c r="C25" i="1"/>
  <c r="R35" i="1" a="1"/>
  <c r="R35" i="1" s="1"/>
  <c r="C21" i="1" s="1"/>
  <c r="R33" i="1"/>
  <c r="R26" i="1"/>
  <c r="C23" i="2"/>
  <c r="C22" i="5"/>
  <c r="C19" i="5"/>
  <c r="C19" i="4"/>
  <c r="C22" i="4"/>
  <c r="C23" i="3"/>
  <c r="B26" i="3"/>
  <c r="T35" i="2" a="1"/>
  <c r="T35" i="2" s="1"/>
  <c r="T26" i="2"/>
  <c r="B25" i="5"/>
  <c r="S35" i="5" a="1"/>
  <c r="S35" i="5" s="1"/>
  <c r="S26" i="5"/>
  <c r="S35" i="4" a="1"/>
  <c r="S35" i="4" s="1"/>
  <c r="S26" i="4"/>
  <c r="B25" i="4"/>
  <c r="U54" i="3" l="1" a="1"/>
  <c r="U54" i="3" s="1"/>
  <c r="V54" i="3" s="1"/>
  <c r="T88" i="3"/>
  <c r="T93" i="3"/>
  <c r="U92" i="3"/>
  <c r="U93" i="3"/>
  <c r="T87" i="3"/>
  <c r="T92" i="3"/>
  <c r="U91" i="3"/>
  <c r="T91" i="3"/>
  <c r="U90" i="3"/>
  <c r="T90" i="3"/>
  <c r="U89" i="3"/>
  <c r="T89" i="3"/>
  <c r="U88" i="3"/>
  <c r="U87" i="3"/>
  <c r="V55" i="3"/>
  <c r="U59" i="3" a="1"/>
  <c r="U59" i="3" s="1"/>
  <c r="U39" i="3" s="1"/>
  <c r="U93" i="2"/>
  <c r="U90" i="2"/>
  <c r="U88" i="2"/>
  <c r="U87" i="2"/>
  <c r="U92" i="2"/>
  <c r="U89" i="2"/>
  <c r="T87" i="2"/>
  <c r="T93" i="2"/>
  <c r="T92" i="2"/>
  <c r="T91" i="2"/>
  <c r="T90" i="2"/>
  <c r="T89" i="2"/>
  <c r="T88" i="2"/>
  <c r="U91" i="2"/>
  <c r="C17" i="2"/>
  <c r="U17" i="2"/>
  <c r="T17" i="2"/>
  <c r="S17" i="1"/>
  <c r="R17" i="1"/>
  <c r="C17" i="3"/>
  <c r="S19" i="1"/>
  <c r="R19" i="1"/>
  <c r="U19" i="2"/>
  <c r="U33" i="2" s="1"/>
  <c r="T19" i="2"/>
  <c r="T19" i="5"/>
  <c r="T33" i="5" s="1"/>
  <c r="S19" i="5"/>
  <c r="S19" i="4"/>
  <c r="T19" i="4"/>
  <c r="T33" i="4" s="1"/>
  <c r="E8" i="5"/>
  <c r="E6" i="5"/>
  <c r="E4" i="5"/>
  <c r="E8" i="4"/>
  <c r="E6" i="4"/>
  <c r="E4" i="4"/>
  <c r="E8" i="3"/>
  <c r="E6" i="3"/>
  <c r="E4" i="3"/>
  <c r="E8" i="2"/>
  <c r="E6" i="2"/>
  <c r="E4" i="2"/>
  <c r="E8" i="1"/>
  <c r="E6" i="1"/>
  <c r="E4" i="1"/>
  <c r="C9" i="3" l="1"/>
  <c r="V87" i="3"/>
  <c r="W87" i="3"/>
  <c r="U58" i="3"/>
  <c r="U60" i="3"/>
  <c r="U38" i="3"/>
  <c r="V38" i="3"/>
  <c r="V87" i="2"/>
  <c r="W87" i="2"/>
  <c r="S33" i="5"/>
  <c r="C12" i="5" s="1"/>
  <c r="V37" i="2"/>
  <c r="T40" i="1"/>
  <c r="T43" i="1"/>
  <c r="T42" i="1"/>
  <c r="S33" i="1"/>
  <c r="C13" i="1" s="1"/>
  <c r="S21" i="1"/>
  <c r="S23" i="1" s="1"/>
  <c r="S54" i="1" s="1" a="1"/>
  <c r="S54" i="1" s="1"/>
  <c r="C9" i="1" s="1"/>
  <c r="R21" i="1"/>
  <c r="R23" i="1" s="1"/>
  <c r="S42" i="1"/>
  <c r="S37" i="1"/>
  <c r="S43" i="1"/>
  <c r="T37" i="1"/>
  <c r="S40" i="1"/>
  <c r="U40" i="2"/>
  <c r="U43" i="2"/>
  <c r="T21" i="2"/>
  <c r="T23" i="2" s="1"/>
  <c r="U42" i="2"/>
  <c r="T33" i="2"/>
  <c r="C20" i="2" s="1"/>
  <c r="U41" i="2"/>
  <c r="V43" i="2"/>
  <c r="U21" i="2"/>
  <c r="U23" i="2" s="1"/>
  <c r="U54" i="2" s="1" a="1"/>
  <c r="U54" i="2" s="1"/>
  <c r="V42" i="2"/>
  <c r="V41" i="2"/>
  <c r="V40" i="2"/>
  <c r="V39" i="2"/>
  <c r="U37" i="2"/>
  <c r="S33" i="4"/>
  <c r="C12" i="4" s="1"/>
  <c r="C13" i="4" s="1"/>
  <c r="C20" i="3"/>
  <c r="C21" i="3" s="1"/>
  <c r="T43" i="5"/>
  <c r="T42" i="5"/>
  <c r="S21" i="5"/>
  <c r="S23" i="5" s="1"/>
  <c r="T55" i="5" s="1" a="1"/>
  <c r="T55" i="5" s="1"/>
  <c r="T41" i="5"/>
  <c r="T40" i="5"/>
  <c r="U43" i="5"/>
  <c r="U42" i="5"/>
  <c r="T21" i="5"/>
  <c r="T23" i="5" s="1"/>
  <c r="U41" i="5"/>
  <c r="U40" i="5"/>
  <c r="U39" i="5"/>
  <c r="T37" i="5"/>
  <c r="U37" i="5"/>
  <c r="T21" i="4"/>
  <c r="T23" i="4" s="1"/>
  <c r="U43" i="4"/>
  <c r="U42" i="4"/>
  <c r="U41" i="4"/>
  <c r="U40" i="4"/>
  <c r="T43" i="4"/>
  <c r="T37" i="4"/>
  <c r="T42" i="4"/>
  <c r="T41" i="4"/>
  <c r="T40" i="4"/>
  <c r="U37" i="4"/>
  <c r="S21" i="4"/>
  <c r="S23" i="4" s="1"/>
  <c r="T55" i="4" s="1" a="1"/>
  <c r="T55" i="4" s="1"/>
  <c r="T54" i="4" l="1" a="1"/>
  <c r="T54" i="4" s="1"/>
  <c r="U54" i="4" s="1"/>
  <c r="U55" i="2" a="1"/>
  <c r="U55" i="2" s="1"/>
  <c r="V55" i="2" s="1"/>
  <c r="T54" i="5" a="1"/>
  <c r="T54" i="5" s="1"/>
  <c r="U54" i="5" s="1"/>
  <c r="S55" i="1" a="1"/>
  <c r="S55" i="1" s="1"/>
  <c r="T55" i="1" s="1"/>
  <c r="C13" i="5"/>
  <c r="W54" i="3"/>
  <c r="W55" i="3"/>
  <c r="W52" i="3"/>
  <c r="W51" i="3"/>
  <c r="C21" i="2"/>
  <c r="C14" i="1"/>
  <c r="S67" i="1" s="1"/>
  <c r="T54" i="1"/>
  <c r="T59" i="4" a="1"/>
  <c r="T59" i="4" s="1"/>
  <c r="T39" i="4" s="1"/>
  <c r="T59" i="5" a="1"/>
  <c r="T59" i="5" s="1"/>
  <c r="U55" i="5"/>
  <c r="U55" i="4"/>
  <c r="U59" i="2" a="1"/>
  <c r="U59" i="2" s="1"/>
  <c r="V54" i="2"/>
  <c r="S59" i="1" a="1"/>
  <c r="S59" i="1" s="1"/>
  <c r="T39" i="1" s="1"/>
  <c r="C9" i="2" l="1"/>
  <c r="U58" i="2"/>
  <c r="W51" i="2" s="1"/>
  <c r="C8" i="2" s="1"/>
  <c r="U39" i="2"/>
  <c r="C9" i="5"/>
  <c r="C9" i="4"/>
  <c r="T58" i="4"/>
  <c r="V52" i="4" s="1"/>
  <c r="U39" i="4"/>
  <c r="S72" i="1"/>
  <c r="R68" i="1"/>
  <c r="R67" i="1"/>
  <c r="S68" i="1"/>
  <c r="S70" i="1"/>
  <c r="S69" i="1"/>
  <c r="R72" i="1"/>
  <c r="R70" i="1"/>
  <c r="S71" i="1"/>
  <c r="R71" i="1"/>
  <c r="R69" i="1"/>
  <c r="S73" i="1"/>
  <c r="R73" i="1"/>
  <c r="T38" i="1"/>
  <c r="T41" i="1"/>
  <c r="T60" i="4"/>
  <c r="V54" i="4" s="1"/>
  <c r="T60" i="5"/>
  <c r="T58" i="5"/>
  <c r="T38" i="4"/>
  <c r="C8" i="3"/>
  <c r="U60" i="2"/>
  <c r="W55" i="2" s="1"/>
  <c r="S39" i="1"/>
  <c r="S58" i="1"/>
  <c r="T38" i="5"/>
  <c r="U38" i="2"/>
  <c r="V38" i="2"/>
  <c r="S41" i="1"/>
  <c r="S38" i="1"/>
  <c r="S60" i="1"/>
  <c r="U38" i="5"/>
  <c r="U38" i="4"/>
  <c r="T39" i="5"/>
  <c r="W52" i="2" l="1"/>
  <c r="C16" i="4"/>
  <c r="T68" i="4" s="1"/>
  <c r="V51" i="4"/>
  <c r="C8" i="4" s="1"/>
  <c r="T67" i="1"/>
  <c r="U67" i="1"/>
  <c r="C22" i="1"/>
  <c r="U55" i="1"/>
  <c r="U54" i="1"/>
  <c r="C10" i="1" s="1"/>
  <c r="U52" i="1"/>
  <c r="U51" i="1"/>
  <c r="C8" i="1" s="1"/>
  <c r="V52" i="5"/>
  <c r="V51" i="5"/>
  <c r="C8" i="5" s="1"/>
  <c r="V54" i="5"/>
  <c r="V55" i="5"/>
  <c r="C10" i="5" s="1"/>
  <c r="V55" i="4"/>
  <c r="C10" i="4" s="1"/>
  <c r="W54" i="2"/>
  <c r="C10" i="2" s="1"/>
  <c r="C10" i="3"/>
  <c r="C14" i="3"/>
  <c r="C17" i="1" a="1"/>
  <c r="C17" i="1" s="1"/>
  <c r="C16" i="5"/>
  <c r="C14" i="2"/>
  <c r="C13" i="3"/>
  <c r="C13" i="2"/>
  <c r="C18" i="1"/>
  <c r="S71" i="4" l="1"/>
  <c r="S73" i="4"/>
  <c r="T69" i="4"/>
  <c r="S67" i="4"/>
  <c r="T72" i="4"/>
  <c r="S68" i="4"/>
  <c r="T73" i="4"/>
  <c r="S69" i="4"/>
  <c r="S72" i="4"/>
  <c r="T67" i="4"/>
  <c r="T71" i="4"/>
  <c r="T70" i="4"/>
  <c r="S70" i="4"/>
  <c r="U79" i="3"/>
  <c r="U85" i="3"/>
  <c r="U73" i="3"/>
  <c r="U67" i="3"/>
  <c r="T85" i="3"/>
  <c r="T79" i="3"/>
  <c r="T73" i="3"/>
  <c r="T67" i="3"/>
  <c r="U84" i="3"/>
  <c r="U78" i="3"/>
  <c r="U72" i="3"/>
  <c r="U66" i="3"/>
  <c r="T84" i="3"/>
  <c r="T78" i="3"/>
  <c r="T72" i="3"/>
  <c r="T66" i="3"/>
  <c r="U83" i="3"/>
  <c r="U77" i="3"/>
  <c r="U71" i="3"/>
  <c r="T83" i="3"/>
  <c r="T77" i="3"/>
  <c r="T71" i="3"/>
  <c r="U82" i="3"/>
  <c r="U76" i="3"/>
  <c r="U70" i="3"/>
  <c r="T82" i="3"/>
  <c r="T76" i="3"/>
  <c r="T70" i="3"/>
  <c r="U81" i="3"/>
  <c r="U75" i="3"/>
  <c r="U69" i="3"/>
  <c r="T81" i="3"/>
  <c r="T75" i="3"/>
  <c r="T69" i="3"/>
  <c r="U80" i="3"/>
  <c r="U74" i="3"/>
  <c r="U68" i="3"/>
  <c r="T80" i="3"/>
  <c r="T74" i="3"/>
  <c r="T68" i="3"/>
  <c r="V97" i="3" a="1"/>
  <c r="V97" i="3" s="1"/>
  <c r="U97" i="3"/>
  <c r="T97" i="3"/>
  <c r="V96" i="3" a="1"/>
  <c r="V96" i="3" s="1"/>
  <c r="U96" i="3"/>
  <c r="T96" i="3"/>
  <c r="T99" i="3" s="1"/>
  <c r="S73" i="5"/>
  <c r="T68" i="5"/>
  <c r="T67" i="5"/>
  <c r="S71" i="5"/>
  <c r="T71" i="5"/>
  <c r="S67" i="5"/>
  <c r="S70" i="5"/>
  <c r="T69" i="5"/>
  <c r="S69" i="5"/>
  <c r="T72" i="5"/>
  <c r="S68" i="5"/>
  <c r="S72" i="5"/>
  <c r="T73" i="5"/>
  <c r="T70" i="5"/>
  <c r="U74" i="2"/>
  <c r="T82" i="2"/>
  <c r="T70" i="2"/>
  <c r="U83" i="2"/>
  <c r="U85" i="2"/>
  <c r="U73" i="2"/>
  <c r="T81" i="2"/>
  <c r="T69" i="2"/>
  <c r="T80" i="2"/>
  <c r="U71" i="2"/>
  <c r="T67" i="2"/>
  <c r="U70" i="2"/>
  <c r="T66" i="2"/>
  <c r="U69" i="2"/>
  <c r="T77" i="2"/>
  <c r="U68" i="2"/>
  <c r="U75" i="2"/>
  <c r="T71" i="2"/>
  <c r="U84" i="2"/>
  <c r="U72" i="2"/>
  <c r="T68" i="2"/>
  <c r="T79" i="2"/>
  <c r="U82" i="2"/>
  <c r="T78" i="2"/>
  <c r="U81" i="2"/>
  <c r="U80" i="2"/>
  <c r="T76" i="2"/>
  <c r="T83" i="2"/>
  <c r="U79" i="2"/>
  <c r="U67" i="2"/>
  <c r="T75" i="2"/>
  <c r="U78" i="2"/>
  <c r="U66" i="2"/>
  <c r="T74" i="2"/>
  <c r="U77" i="2"/>
  <c r="T85" i="2"/>
  <c r="T73" i="2"/>
  <c r="U76" i="2"/>
  <c r="T84" i="2"/>
  <c r="T72" i="2"/>
  <c r="V96" i="2" a="1"/>
  <c r="V96" i="2" s="1"/>
  <c r="T97" i="2"/>
  <c r="U97" i="2"/>
  <c r="V97" i="2" a="1"/>
  <c r="V97" i="2" s="1"/>
  <c r="U96" i="2"/>
  <c r="U99" i="2" s="1"/>
  <c r="T96" i="2"/>
  <c r="R81" i="1"/>
  <c r="R80" i="1"/>
  <c r="R79" i="1"/>
  <c r="R78" i="1"/>
  <c r="S76" i="1"/>
  <c r="R77" i="1"/>
  <c r="R75" i="1"/>
  <c r="S81" i="1"/>
  <c r="S80" i="1"/>
  <c r="S79" i="1"/>
  <c r="S78" i="1"/>
  <c r="S75" i="1"/>
  <c r="R76" i="1"/>
  <c r="S77" i="1"/>
  <c r="T99" i="2" l="1"/>
  <c r="V67" i="4"/>
  <c r="U67" i="4"/>
  <c r="U99" i="3"/>
  <c r="W66" i="3"/>
  <c r="V99" i="3"/>
  <c r="V66" i="3"/>
  <c r="V67" i="5"/>
  <c r="U67" i="5"/>
  <c r="V99" i="2"/>
  <c r="W66" i="2"/>
  <c r="V66" i="2"/>
  <c r="T75" i="1"/>
  <c r="U7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<sst xmlns="http://schemas.openxmlformats.org/spreadsheetml/2006/main" count="588" uniqueCount="129">
  <si>
    <t>Deck Information:</t>
  </si>
  <si>
    <t>Stair Information:</t>
  </si>
  <si>
    <t>Stair Material</t>
  </si>
  <si>
    <t>Stair Finish</t>
  </si>
  <si>
    <t>Deck Finish</t>
  </si>
  <si>
    <t>Fascia/Feature/Perimeter Strip Finish</t>
  </si>
  <si>
    <t>Installation Direction</t>
  </si>
  <si>
    <t>Joist Spacing</t>
  </si>
  <si>
    <t>Deck Location</t>
  </si>
  <si>
    <t>Deck Finish Options</t>
  </si>
  <si>
    <t>Stair Finish Options</t>
  </si>
  <si>
    <t>Data Entry</t>
  </si>
  <si>
    <t>Depth (From House) IN</t>
  </si>
  <si>
    <t>OPTIMA Dekk</t>
  </si>
  <si>
    <t>ArmorCap Finish</t>
  </si>
  <si>
    <t>Traction Finish - Wood Grain</t>
  </si>
  <si>
    <t>Perpendicular (To Home)</t>
  </si>
  <si>
    <t>16 IN</t>
  </si>
  <si>
    <t>Against Home</t>
  </si>
  <si>
    <t>Deck Height (From Ground) in feet</t>
  </si>
  <si>
    <t>Traction Finish</t>
  </si>
  <si>
    <t>Width (Parallel to House) IN</t>
  </si>
  <si>
    <t>Stair Width in feet</t>
  </si>
  <si>
    <t>Stair Height (In Inches)</t>
  </si>
  <si>
    <t>Joist Options</t>
  </si>
  <si>
    <t>Primary Board Length (FT)</t>
  </si>
  <si>
    <t>Square Feet</t>
  </si>
  <si>
    <t>Stair Depth (In Inches)</t>
  </si>
  <si>
    <t>12 IN</t>
  </si>
  <si>
    <t>Primary Boards Needed</t>
  </si>
  <si>
    <t>Secondary Board Length (FT)</t>
  </si>
  <si>
    <t>Board Length (FT)</t>
  </si>
  <si>
    <t>24 IN</t>
  </si>
  <si>
    <t>Secondary Boards Needed</t>
  </si>
  <si>
    <t>*If length is greater than 24 FT, please contact AmeriLux International</t>
  </si>
  <si>
    <t>Installation Options</t>
  </si>
  <si>
    <t>Accessories</t>
  </si>
  <si>
    <t>Feature Strip - Internal Lining (12' Length Only)</t>
  </si>
  <si>
    <t>Fascia Board (12' Length Only)</t>
  </si>
  <si>
    <t>Feature Strip Screws (3" Or Longer)</t>
  </si>
  <si>
    <t>Fascia Screws (2 1/2" Or Longer)</t>
  </si>
  <si>
    <t>Full Primary Boards</t>
  </si>
  <si>
    <t>Mounting Clips</t>
  </si>
  <si>
    <t>L/R Cap Kits</t>
  </si>
  <si>
    <t>Total Primary Boards Needed</t>
  </si>
  <si>
    <t>*Mounting clips are required on Armor cap boards only</t>
  </si>
  <si>
    <t>Additional Boards of primary board length</t>
  </si>
  <si>
    <t>2 1/2" Fastners (Screws) - Face Screws (Beg / End Boards)</t>
  </si>
  <si>
    <t>1 5/8" Fastners (Screws)</t>
  </si>
  <si>
    <t>Additional deck feet required</t>
  </si>
  <si>
    <t>*185 CT or 900 CT</t>
  </si>
  <si>
    <t>Parallel</t>
  </si>
  <si>
    <t>Perpendicular</t>
  </si>
  <si>
    <t>Lexel</t>
  </si>
  <si>
    <t>Number of joists</t>
  </si>
  <si>
    <t>Optional</t>
  </si>
  <si>
    <t>1/32 IN Spacer</t>
  </si>
  <si>
    <t>Away from Home</t>
  </si>
  <si>
    <t>Board Length Maximums:</t>
  </si>
  <si>
    <t>Internal Perimeter Boards Required</t>
  </si>
  <si>
    <t>DuxxBak ArmorCap - 24 FT</t>
  </si>
  <si>
    <t>DuxxBak Traction - 24 FT</t>
  </si>
  <si>
    <t>Joist Distance</t>
  </si>
  <si>
    <t>Joists Covered by regular boards</t>
  </si>
  <si>
    <t>1st Set</t>
  </si>
  <si>
    <t>2nd Set</t>
  </si>
  <si>
    <t>3rd Set</t>
  </si>
  <si>
    <t>4th Set</t>
  </si>
  <si>
    <t>5th Set</t>
  </si>
  <si>
    <t>6th Set</t>
  </si>
  <si>
    <t>7th Set</t>
  </si>
  <si>
    <t>Stair Options</t>
  </si>
  <si>
    <t>I.Dekk S4S</t>
  </si>
  <si>
    <t>I.Dekk HD S4S</t>
  </si>
  <si>
    <t>Primary Board</t>
  </si>
  <si>
    <t>Modified Board Length</t>
  </si>
  <si>
    <t>Pieces from 1 Board</t>
  </si>
  <si>
    <t>Modified Boards Required</t>
  </si>
  <si>
    <t>Secondary Board</t>
  </si>
  <si>
    <t>Old Primary Board Length</t>
  </si>
  <si>
    <t>Old Primary Boards Needed</t>
  </si>
  <si>
    <t>Old Secondary Board Length</t>
  </si>
  <si>
    <t>Old Secondary Boards Needed</t>
  </si>
  <si>
    <t>Perimeter/Feature Strip Finish</t>
  </si>
  <si>
    <t>Big Screw Large Bags</t>
  </si>
  <si>
    <t>Big Screw Small Bags</t>
  </si>
  <si>
    <t>Total Big Large Bags</t>
  </si>
  <si>
    <t>Total Big Small Bags</t>
  </si>
  <si>
    <t>Small Screw Large Bags</t>
  </si>
  <si>
    <t>Small Screw Small Bags</t>
  </si>
  <si>
    <t>Total Small Large Bags</t>
  </si>
  <si>
    <t>Total Small Small Bags</t>
  </si>
  <si>
    <t>Deck Style</t>
  </si>
  <si>
    <t>Fascia Finish</t>
  </si>
  <si>
    <t>Deck Screw Type</t>
  </si>
  <si>
    <t>Style Options</t>
  </si>
  <si>
    <t>Tongue &amp; Groove</t>
  </si>
  <si>
    <t>Armor Cap Finish</t>
  </si>
  <si>
    <t>SS Composite Screw</t>
  </si>
  <si>
    <t>Square Edge</t>
  </si>
  <si>
    <t>Screw Type</t>
  </si>
  <si>
    <t>Composite Screw</t>
  </si>
  <si>
    <t>2 3/4" (Or Longer) Fastners (Screws)</t>
  </si>
  <si>
    <t>Parallel (To Home)</t>
  </si>
  <si>
    <t>OPTIMA Dekk Clips</t>
  </si>
  <si>
    <t>Perimeter Boards (Optima Dekk Square Edge)</t>
  </si>
  <si>
    <t>Perimeter Board Screws (2 3/4" Or Longer)</t>
  </si>
  <si>
    <t>Feature Boards (Optima Dekk Square Edge)</t>
  </si>
  <si>
    <t>Feature Board Screws (2 3/4" Or Longer)</t>
  </si>
  <si>
    <t>3/16 IN Spacer</t>
  </si>
  <si>
    <t>Maximum Board Length:</t>
  </si>
  <si>
    <t>Square Edge - 24 FT</t>
  </si>
  <si>
    <t>Tongue &amp; Groove - 24 FT</t>
  </si>
  <si>
    <t>Finish Options</t>
  </si>
  <si>
    <t>Big Clip Bags</t>
  </si>
  <si>
    <t>Medium Clip Bags</t>
  </si>
  <si>
    <t>Small Clip Bags</t>
  </si>
  <si>
    <t>Total Big Bags</t>
  </si>
  <si>
    <t>Total Medium Bags</t>
  </si>
  <si>
    <t>Total Small Bags</t>
  </si>
  <si>
    <t>Traditional S4S</t>
  </si>
  <si>
    <t>2 1/2" (Or Longer) Fastners (Screws)</t>
  </si>
  <si>
    <t>Perimeter Strip (12' Length Only)</t>
  </si>
  <si>
    <t>Feature / Perimeter Strip Screws (3" Or Longer)</t>
  </si>
  <si>
    <t>Traditional S4S - 24 FT</t>
  </si>
  <si>
    <t>Length (Distance From House) in feet</t>
  </si>
  <si>
    <t>Width (Distance Along House) in feet</t>
  </si>
  <si>
    <t>*Please ensure the "Installation Direction" and "Deck Location" dropdowns are accurate</t>
  </si>
  <si>
    <t>**Please check that all dropdown selections accurately reflect your deck specifications**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</si>
</sst>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2" borderId="1" xfId="0" applyFont="1" applyFill="1" applyBorder="1" applyAlignment="1" applyProtection="1">
      <alignment horizontal="center"/>
      <protection locked="0"/>
    </xf>
    <xf numFmtId="0" fontId="0" fillId="2" borderId="0" xfId="0" applyFill="1" applyAlignment="1" applyProtection="1">
      <alignment horizontal="center"/>
      <protection locked="0"/>
    </xf>
    <xf numFmtId="1" fontId="2" fillId="3" borderId="1" xfId="0" applyNumberFormat="1" applyFont="1" applyFill="1" applyBorder="1" applyAlignment="1" applyProtection="1">
      <alignment horizontal="center"/>
      <protection hidden="1"/>
    </xf>
    <xf numFmtId="0" fontId="2" fillId="3" borderId="1" xfId="0" applyFont="1" applyFill="1" applyBorder="1" applyAlignment="1" applyProtection="1">
      <alignment horizontal="center"/>
      <protection hidden="1"/>
    </xf>
    <xf numFmtId="0" fontId="0" fillId="0" borderId="0" xfId="0" applyProtection="1">
      <protection hidden="1"/>
    </xf>
    <xf numFmtId="0" fontId="2" fillId="6" borderId="0" xfId="0" applyFont="1" applyFill="1"/>
    <xf numFmtId="0" fontId="2" fillId="6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0" fillId="4" borderId="1" xfId="0" applyFill="1" applyBorder="1" applyAlignment="1">
      <alignment horizontal="right"/>
    </xf>
    <xf numFmtId="0" fontId="0" fillId="0" borderId="1" xfId="0" applyBorder="1" applyAlignment="1">
      <alignment horizontal="center"/>
    </xf>
    <xf numFmtId="0" fontId="2" fillId="7" borderId="0" xfId="0" applyFont="1" applyFill="1" applyAlignment="1">
      <alignment horizontal="left"/>
    </xf>
    <xf numFmtId="0" fontId="2" fillId="7" borderId="0" xfId="0" applyFont="1" applyFill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0" fillId="0" borderId="1" xfId="0" applyBorder="1" applyAlignment="1" applyProtection="1">
      <alignment horizontal="center"/>
      <protection hidden="1"/>
    </xf>
    <xf numFmtId="0" fontId="0" fillId="0" borderId="0" xfId="0" applyAlignment="1">
      <alignment wrapText="1"/>
    </xf>
    <xf numFmtId="0" fontId="2" fillId="7" borderId="0" xfId="0" applyFont="1" applyFill="1"/>
    <xf numFmtId="0" fontId="0" fillId="7" borderId="0" xfId="0" applyFill="1"/>
    <xf numFmtId="0" fontId="2" fillId="0" borderId="2" xfId="0" applyFont="1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11905</xdr:colOff>
      <xdr:row>0</xdr:row>
      <xdr:rowOff>250027</xdr:rowOff>
    </xdr:from>
    <xdr:to>
      <xdr:col>15</xdr:col>
      <xdr:colOff>157161</xdr:colOff>
      <xdr:row>0</xdr:row>
      <xdr:rowOff>2537019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2F0B1D6-51C3-E5BE-8EE5-77DE3F96F4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7218" y="250027"/>
          <a:ext cx="21955125" cy="228699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11907</xdr:colOff>
      <xdr:row>0</xdr:row>
      <xdr:rowOff>250033</xdr:rowOff>
    </xdr:from>
    <xdr:to>
      <xdr:col>16</xdr:col>
      <xdr:colOff>107155</xdr:colOff>
      <xdr:row>0</xdr:row>
      <xdr:rowOff>2537025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D40D9CD-4E32-42A5-B231-6397D59145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07220" y="250033"/>
          <a:ext cx="21955123" cy="228699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11907</xdr:colOff>
      <xdr:row>0</xdr:row>
      <xdr:rowOff>250032</xdr:rowOff>
    </xdr:from>
    <xdr:to>
      <xdr:col>16</xdr:col>
      <xdr:colOff>107155</xdr:colOff>
      <xdr:row>0</xdr:row>
      <xdr:rowOff>2537024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B6ED6D1-D765-44EB-9288-FD50249A9F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07220" y="250032"/>
          <a:ext cx="21955123" cy="228699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11907</xdr:colOff>
      <xdr:row>0</xdr:row>
      <xdr:rowOff>250032</xdr:rowOff>
    </xdr:from>
    <xdr:to>
      <xdr:col>14</xdr:col>
      <xdr:colOff>809624</xdr:colOff>
      <xdr:row>0</xdr:row>
      <xdr:rowOff>2537024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191BE56-7EB5-421E-8491-63F64D672D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07220" y="250032"/>
          <a:ext cx="21955123" cy="228699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11907</xdr:colOff>
      <xdr:row>0</xdr:row>
      <xdr:rowOff>250032</xdr:rowOff>
    </xdr:from>
    <xdr:to>
      <xdr:col>14</xdr:col>
      <xdr:colOff>809624</xdr:colOff>
      <xdr:row>0</xdr:row>
      <xdr:rowOff>2537024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D2BE20F-0CA7-4C51-B0F0-7B243EC1CF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07220" y="250032"/>
          <a:ext cx="21955123" cy="22869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96D30B-7D53-479E-A1A6-068F07530A6C}">
  <dimension ref="B1:U81"/>
  <sheetViews>
    <sheetView tabSelected="1" zoomScale="80" zoomScaleNormal="80" workbookViewId="0">
      <selection activeCell="B66" sqref="B66"/>
    </sheetView>
  </sheetViews>
  <sheetFormatPr defaultColWidth="8.85546875" defaultRowHeight="15" x14ac:dyDescent="0.25"/>
  <cols>
    <col min="2" max="2" width="60.7109375" customWidth="1"/>
    <col min="3" max="3" width="18.7109375" customWidth="1"/>
    <col min="4" max="4" width="8.7109375" customWidth="1"/>
    <col min="5" max="5" width="25.7109375" customWidth="1"/>
    <col min="6" max="6" width="8.7109375" customWidth="1"/>
    <col min="7" max="7" width="31.7109375" customWidth="1"/>
    <col min="8" max="8" width="13.7109375" customWidth="1"/>
    <col min="10" max="10" width="25" customWidth="1"/>
    <col min="11" max="12" width="26.7109375" bestFit="1" customWidth="1"/>
    <col min="13" max="13" width="35.28515625" bestFit="1" customWidth="1"/>
    <col min="14" max="14" width="23.42578125" bestFit="1" customWidth="1"/>
    <col min="15" max="15" width="12.7109375" bestFit="1" customWidth="1"/>
    <col min="16" max="16" width="15.85546875" bestFit="1" customWidth="1"/>
    <col min="17" max="17" width="9.140625" customWidth="1"/>
    <col min="18" max="18" width="38.85546875" hidden="1" customWidth="1"/>
    <col min="19" max="19" width="20.85546875" hidden="1" customWidth="1"/>
    <col min="20" max="20" width="18.7109375" hidden="1" customWidth="1"/>
    <col min="21" max="21" width="24.140625" hidden="1" customWidth="1"/>
  </cols>
  <sheetData>
    <row r="1" spans="2:21" s="21" customFormat="1" ht="219.95" customHeight="1" x14ac:dyDescent="0.25"/>
    <row r="2" spans="2:21" x14ac:dyDescent="0.25">
      <c r="B2" s="6" t="s">
        <v>0</v>
      </c>
      <c r="G2" s="6" t="s">
        <v>1</v>
      </c>
      <c r="J2" s="7" t="s">
        <v>2</v>
      </c>
      <c r="K2" s="7" t="s">
        <v>3</v>
      </c>
      <c r="L2" s="7" t="s">
        <v>4</v>
      </c>
      <c r="M2" s="7" t="s">
        <v>5</v>
      </c>
      <c r="R2" s="5" t="s">
        <v>9</v>
      </c>
      <c r="S2" s="5" t="s">
        <v>10</v>
      </c>
      <c r="T2" s="5"/>
      <c r="U2" s="5"/>
    </row>
    <row r="3" spans="2:21" x14ac:dyDescent="0.25">
      <c r="C3" s="8" t="s">
        <v>11</v>
      </c>
      <c r="E3" s="9" t="s">
        <v>12</v>
      </c>
      <c r="H3" s="8" t="s">
        <v>11</v>
      </c>
      <c r="J3" s="2" t="s">
        <v>72</v>
      </c>
      <c r="K3" s="2" t="s">
        <v>15</v>
      </c>
      <c r="L3" s="2" t="s">
        <v>14</v>
      </c>
      <c r="M3" s="2" t="s">
        <v>15</v>
      </c>
      <c r="R3" s="5" t="s">
        <v>14</v>
      </c>
      <c r="S3" s="5" t="s">
        <v>14</v>
      </c>
      <c r="T3" s="5"/>
      <c r="U3" s="5"/>
    </row>
    <row r="4" spans="2:21" x14ac:dyDescent="0.25">
      <c r="B4" s="10" t="s">
        <v>125</v>
      </c>
      <c r="C4" s="1">
        <v>8</v>
      </c>
      <c r="E4" s="16">
        <f>C4*12</f>
        <v>96</v>
      </c>
      <c r="G4" s="10" t="s">
        <v>19</v>
      </c>
      <c r="H4" s="1">
        <v>10</v>
      </c>
      <c r="R4" s="5" t="s">
        <v>20</v>
      </c>
      <c r="S4" s="5" t="s">
        <v>20</v>
      </c>
      <c r="T4" s="5"/>
      <c r="U4" s="5"/>
    </row>
    <row r="5" spans="2:21" x14ac:dyDescent="0.25">
      <c r="B5" s="10" t="s">
        <v>126</v>
      </c>
      <c r="C5" s="1">
        <v>33</v>
      </c>
      <c r="E5" s="9" t="s">
        <v>21</v>
      </c>
      <c r="G5" s="10" t="s">
        <v>22</v>
      </c>
      <c r="H5" s="1">
        <v>3</v>
      </c>
      <c r="J5" s="7" t="s">
        <v>6</v>
      </c>
      <c r="K5" s="7" t="s">
        <v>7</v>
      </c>
      <c r="L5" s="7" t="s">
        <v>8</v>
      </c>
      <c r="R5" s="5" t="s">
        <v>15</v>
      </c>
      <c r="S5" s="5" t="s">
        <v>15</v>
      </c>
      <c r="T5" s="5"/>
      <c r="U5" s="5"/>
    </row>
    <row r="6" spans="2:21" x14ac:dyDescent="0.25">
      <c r="B6" s="12" t="s">
        <v>127</v>
      </c>
      <c r="C6" s="13"/>
      <c r="E6" s="16">
        <f>C5*12</f>
        <v>396</v>
      </c>
      <c r="G6" s="10" t="s">
        <v>23</v>
      </c>
      <c r="H6" s="1">
        <v>7</v>
      </c>
      <c r="J6" s="2" t="s">
        <v>16</v>
      </c>
      <c r="K6" s="2" t="s">
        <v>17</v>
      </c>
      <c r="L6" s="2" t="s">
        <v>18</v>
      </c>
      <c r="R6" s="5" t="s">
        <v>24</v>
      </c>
      <c r="S6" s="5"/>
      <c r="T6" s="5"/>
      <c r="U6" s="5"/>
    </row>
    <row r="7" spans="2:21" x14ac:dyDescent="0.25">
      <c r="B7" s="10" t="s">
        <v>25</v>
      </c>
      <c r="C7" s="3" cm="1">
        <f t="array" ref="C7">IF($J$6="Parallel (To Home)",IF($C$5&gt;=21,24,_xlfn.IFS($C$5&lt;=4,12,$C$5&lt;=5,12,$C$5&lt;=6,12,$C$5&lt;=7,16,$C$5&lt;=8,16,$C$5&lt;=9,20,$C$5&lt;=10,12,$C$5&lt;=11,12,$C$5&lt;=12,12,$C$5&lt;=16,16,$C$5&lt;=20,20)),IF($C$4&gt;=21,24,_xlfn.IFS($C$4&lt;=4,12,$C$4&lt;=5,12,$C$4&lt;=6,12,$C$4&lt;=7,16,$C$4&lt;=8,16,$C$4&lt;=9,20,$C$4&lt;=10,12,$C$4&lt;=11,12,$C$4&lt;=12,12,$C$4&lt;=16,16,$C$4&lt;=20,20)))</f>
        <v>16</v>
      </c>
      <c r="E7" s="9" t="s">
        <v>26</v>
      </c>
      <c r="G7" s="10" t="s">
        <v>27</v>
      </c>
      <c r="H7" s="1">
        <v>11</v>
      </c>
      <c r="R7" s="5" t="s">
        <v>28</v>
      </c>
      <c r="S7" s="5"/>
      <c r="T7" s="5"/>
      <c r="U7" s="5"/>
    </row>
    <row r="8" spans="2:21" x14ac:dyDescent="0.25">
      <c r="B8" s="10" t="s">
        <v>29</v>
      </c>
      <c r="C8" s="3">
        <f>IF($J$6="Parallel (to Home)",IF($C$5&lt;=12,$U$52,$S$58),IF($C$4&lt;=12,$U$51,$S$58))</f>
        <v>35</v>
      </c>
      <c r="E8" s="16">
        <f>C5*C4</f>
        <v>264</v>
      </c>
      <c r="R8" s="5" t="s">
        <v>17</v>
      </c>
      <c r="S8" s="5"/>
      <c r="T8" s="5"/>
      <c r="U8" s="5"/>
    </row>
    <row r="9" spans="2:21" x14ac:dyDescent="0.25">
      <c r="B9" s="10" t="s">
        <v>30</v>
      </c>
      <c r="C9" s="3">
        <f>IF($J$6="Parallel (To Home)",$S$55,$S$54)</f>
        <v>0</v>
      </c>
      <c r="G9" s="10" t="s">
        <v>31</v>
      </c>
      <c r="H9" s="3" cm="1">
        <f t="array" ref="H9">_xlfn.IFS($H$5&lt;=3,24,$H$5&lt;=4,24,$H$5&lt;=5,20,$H$5&lt;=6,24)</f>
        <v>24</v>
      </c>
      <c r="R9" s="5" t="s">
        <v>32</v>
      </c>
      <c r="S9" s="5"/>
      <c r="T9" s="5"/>
      <c r="U9" s="5"/>
    </row>
    <row r="10" spans="2:21" x14ac:dyDescent="0.25">
      <c r="B10" s="10" t="s">
        <v>33</v>
      </c>
      <c r="C10" s="3">
        <f>IF($J$6="Parallel (To Home)",IF($R$23=0,0,IF($R$23&lt;=12,$U$55,$S$60)),IF($S$23=0,0,IF($S$23&lt;=12,$U$54,$S$60)))</f>
        <v>0</v>
      </c>
      <c r="G10" s="10" t="str">
        <f>_xlfn.CONCAT(J3," ","Boards Needed")</f>
        <v>I.Dekk S4S Boards Needed</v>
      </c>
      <c r="H10" s="3">
        <f>ROUNDUP((($H$4*12)/$H$6)*(IF($J$3="OPTIMA Dekk",ROUNDUP(($H$7/5.5),0),IF($J$3="I.Dekk S4S",ROUNDUP(($H$7/5.5),0),ROUNDUP(($H$7/5.5),0))))/ROUNDDOWN(($H$9/$H$5),0),0)</f>
        <v>5</v>
      </c>
      <c r="R10" s="5"/>
      <c r="S10" s="5"/>
      <c r="T10" s="5"/>
      <c r="U10" s="5"/>
    </row>
    <row r="11" spans="2:21" x14ac:dyDescent="0.25">
      <c r="B11" t="s">
        <v>34</v>
      </c>
      <c r="R11" s="5" t="s">
        <v>35</v>
      </c>
      <c r="S11" s="5"/>
      <c r="T11" s="5"/>
      <c r="U11" s="5"/>
    </row>
    <row r="12" spans="2:21" x14ac:dyDescent="0.25">
      <c r="G12" s="20" t="s">
        <v>36</v>
      </c>
      <c r="H12" s="20"/>
      <c r="R12" s="5" t="s">
        <v>16</v>
      </c>
      <c r="S12" s="5"/>
      <c r="T12" s="5"/>
      <c r="U12" s="5"/>
    </row>
    <row r="13" spans="2:21" x14ac:dyDescent="0.25">
      <c r="B13" s="10" t="s">
        <v>37</v>
      </c>
      <c r="C13" s="3">
        <f>IF($J$6="Parallel (To Home)",ROUNDUP(($C$4/12),0)*$R$33,ROUNDUP(($C$5/12),0)*$S$33)</f>
        <v>0</v>
      </c>
      <c r="G13" s="10" t="s">
        <v>38</v>
      </c>
      <c r="H13" s="3">
        <f>ROUNDUP(ROUNDUP(($H$4*12)/$H$6,0)/ROUNDUP((12/$H$5),0)/IF($H$6&lt;=6,2,1),0)</f>
        <v>5</v>
      </c>
      <c r="R13" s="5"/>
      <c r="S13" s="5"/>
      <c r="T13" s="5"/>
      <c r="U13" s="5"/>
    </row>
    <row r="14" spans="2:21" x14ac:dyDescent="0.25">
      <c r="B14" s="10" t="s">
        <v>39</v>
      </c>
      <c r="C14" s="3">
        <f>ROUNDUP(IF($C$13=0,0,IF($J$6="Perpendicular (To Home)",IF(($C$4-$S$57)&gt;($S$57*3),(4*$R$26*2),IF(($C$4-$S$57)&gt;($S$57*2),(3*$R$26*2),IF(($C$4-$S$57)&gt;($S$57),(2*$R$26*2),IF(($C$4-$S$57)&gt;0,($R$26*2),0)))),IF(($C$5-$S$57)&gt;($S$57*3),(4*$R$26*2),IF(($C$5-$S$57)&gt;($S$57*2),(3*$R$26*2),IF(($C$5-$S$57)&gt;($S$57),(2*$R$26*2),IF(($C$5-$S$57)&gt;0,($R$26*2),0)))))+20),0)</f>
        <v>0</v>
      </c>
      <c r="G14" s="10" t="s">
        <v>40</v>
      </c>
      <c r="H14" s="3">
        <f>ROUNDUP((($H$5*12)/12)*3*ROUNDUP(($H$4*12)/$H$6,0)*IF($H$6&lt;=6,2,1)+20,0)</f>
        <v>182</v>
      </c>
      <c r="R14" s="5"/>
      <c r="S14" s="5"/>
      <c r="T14" s="5"/>
      <c r="U14" s="5"/>
    </row>
    <row r="15" spans="2:21" x14ac:dyDescent="0.25">
      <c r="R15" s="5"/>
      <c r="S15" s="5"/>
      <c r="T15" s="5"/>
      <c r="U15" s="5"/>
    </row>
    <row r="16" spans="2:21" x14ac:dyDescent="0.25">
      <c r="B16" s="20" t="s">
        <v>36</v>
      </c>
      <c r="C16" s="20"/>
      <c r="G16" s="10" t="str">
        <f>IF(J3="OPTIMA Dekk","2 3/4 IN (Or Longer) Screws)","2 1/2 IN (Or longer) Screws")</f>
        <v>2 1/2 IN (Or longer) Screws</v>
      </c>
      <c r="H16" s="3">
        <f>ROUNDUP(((($H$5*12)/12)+1)*2*ROUNDUP($H$7/5.5,0)*ROUNDUP(($H$4*12)/$H$6,0)+20,0)</f>
        <v>308</v>
      </c>
      <c r="R16" s="5" t="s">
        <v>41</v>
      </c>
      <c r="S16" s="5"/>
      <c r="T16" s="5"/>
      <c r="U16" s="5"/>
    </row>
    <row r="17" spans="2:21" x14ac:dyDescent="0.25">
      <c r="B17" s="10" t="s">
        <v>42</v>
      </c>
      <c r="C17" s="3" cm="1">
        <f t="array" ref="C17">ROUNDUP(_xlfn.IFS($C$4&lt;20,($S$58*2),$C$4&gt;=20,($S$58*4)),0)</f>
        <v>138</v>
      </c>
      <c r="R17" s="5">
        <f>IF(ROUND(($C$5/$S$57),0)&gt;0,ROUND(($C$5/$S$57),0),1)</f>
        <v>3</v>
      </c>
      <c r="S17" s="5">
        <f>IF(ROUND(($C$4/$S$57),0)&gt;1,ROUND(($C$4/$S$57),0),1)</f>
        <v>1</v>
      </c>
      <c r="T17" s="5"/>
      <c r="U17" s="5"/>
    </row>
    <row r="18" spans="2:21" x14ac:dyDescent="0.25">
      <c r="B18" s="10" t="s">
        <v>43</v>
      </c>
      <c r="C18" s="3">
        <f>$S$58+$S$60</f>
        <v>69</v>
      </c>
      <c r="R18" s="5" t="s">
        <v>44</v>
      </c>
      <c r="S18" s="5"/>
      <c r="T18" s="5"/>
      <c r="U18" s="5"/>
    </row>
    <row r="19" spans="2:21" x14ac:dyDescent="0.25">
      <c r="B19" s="14" t="s">
        <v>45</v>
      </c>
      <c r="C19" s="8"/>
      <c r="G19" s="18" t="s">
        <v>128</v>
      </c>
      <c r="H19" s="19"/>
      <c r="I19" s="19"/>
      <c r="J19" s="19"/>
      <c r="R19" s="5">
        <f>$C$5/$S$57</f>
        <v>2.75</v>
      </c>
      <c r="S19" s="5">
        <f>$C$4/$S$57</f>
        <v>0.66666666666666663</v>
      </c>
      <c r="T19" s="5"/>
      <c r="U19" s="5"/>
    </row>
    <row r="20" spans="2:21" x14ac:dyDescent="0.25">
      <c r="R20" s="5" t="s">
        <v>46</v>
      </c>
      <c r="S20" s="5"/>
      <c r="T20" s="5"/>
      <c r="U20" s="5"/>
    </row>
    <row r="21" spans="2:21" x14ac:dyDescent="0.25">
      <c r="B21" s="10" t="s">
        <v>47</v>
      </c>
      <c r="C21" s="3">
        <f>ROUNDUP(IF($J$6="Perpendicular (To Home)",(($C$4*12)/$R$35)*2,(($C$5*12)/$R$35)*2)+20,0)</f>
        <v>32</v>
      </c>
      <c r="R21" s="5">
        <f>IF($R$19&lt;=1,0,ABS($R$19-TRUNC($R$19)))</f>
        <v>0.75</v>
      </c>
      <c r="S21" s="5">
        <f>IF($S$19&lt;=1,0,ABS($S$19-TRUNC($S$19)))</f>
        <v>0</v>
      </c>
      <c r="T21" s="5"/>
      <c r="U21" s="5"/>
    </row>
    <row r="22" spans="2:21" x14ac:dyDescent="0.25">
      <c r="B22" s="10" t="s">
        <v>48</v>
      </c>
      <c r="C22" s="3">
        <f>IF($J$6="Perpendicular (To Home)",((ROUNDUP((($C$5*12)/5.75),0)*$T$37)+(ROUNDUP((($C$5*12)/5.75),0)*$T$38)+(ROUNDUP((($C$5*12)/5.75),0)*$T$39)+(ROUNDUP((($C$5*12)/5.75),0)*$T$40)+(ROUNDUP((($C$5*12)/5.75),0)*$T$41)+(ROUNDUP((($C$5*12)/5.75),0)*$T$42)+(ROUNDUP((($C$5*12)/5.75),0)*$T$43)),((ROUNDUP((($C$4*12)/5.75),0)*$S$37)+(ROUNDUP((($C$4*12)/5.75),0)*$S$38)+(ROUNDUP((($C$4*12)/5.75),0)*$S$39)+(ROUNDUP((($C$4*12)/5.75),0)*$S$40)+(ROUNDUP((($C$4*12)/5.75),0)*$S$41)+(ROUNDUP((($C$4*12)/5.75),0)*$S$42)+(ROUNDUP((($C$4*12)/5.75),0)*$S$43)))+30</f>
        <v>513</v>
      </c>
      <c r="R22" s="5" t="s">
        <v>49</v>
      </c>
      <c r="S22" s="5"/>
      <c r="T22" s="5"/>
      <c r="U22" s="5"/>
    </row>
    <row r="23" spans="2:21" x14ac:dyDescent="0.25">
      <c r="C23" s="14" t="s">
        <v>50</v>
      </c>
      <c r="R23" s="5">
        <f>$S$57*$R$21</f>
        <v>9</v>
      </c>
      <c r="S23" s="5">
        <f>$S$57*$S$21</f>
        <v>0</v>
      </c>
      <c r="T23" s="5"/>
      <c r="U23" s="5"/>
    </row>
    <row r="24" spans="2:21" x14ac:dyDescent="0.25">
      <c r="B24" s="15"/>
      <c r="R24" s="5" t="s">
        <v>51</v>
      </c>
      <c r="S24" s="5" t="s">
        <v>52</v>
      </c>
      <c r="T24" s="5"/>
      <c r="U24" s="5"/>
    </row>
    <row r="25" spans="2:21" x14ac:dyDescent="0.25">
      <c r="B25" s="10" t="s">
        <v>53</v>
      </c>
      <c r="C25" s="3">
        <f>((($C$4*2)+($C$5*3))/20)</f>
        <v>5.75</v>
      </c>
      <c r="R25" s="5" t="s">
        <v>54</v>
      </c>
      <c r="S25" s="5"/>
      <c r="T25" s="5"/>
      <c r="U25" s="5"/>
    </row>
    <row r="26" spans="2:21" x14ac:dyDescent="0.25">
      <c r="B26" s="15"/>
      <c r="C26" s="8"/>
      <c r="R26" s="5">
        <f>ROUNDUP(IF($J$6="Perpendicular (To Home)",(($C$4*12)/(IF($K$6="16 IN",16,IF($K$6="24 IN",24,12)))),(($C$5*12)/(IF($K$6="16 IN",16,IF($K$6="24 IN",24,12))))),0)+1</f>
        <v>7</v>
      </c>
      <c r="S26" s="5"/>
      <c r="T26" s="5"/>
      <c r="U26" s="5"/>
    </row>
    <row r="27" spans="2:21" x14ac:dyDescent="0.25">
      <c r="B27" s="20" t="s">
        <v>55</v>
      </c>
      <c r="C27" s="20"/>
      <c r="R27" s="5"/>
      <c r="S27" s="5"/>
      <c r="T27" s="5"/>
      <c r="U27" s="5"/>
    </row>
    <row r="28" spans="2:21" x14ac:dyDescent="0.25">
      <c r="B28" s="10" t="s">
        <v>38</v>
      </c>
      <c r="C28" s="4">
        <f>IF($L$6="Away from Home",ROUNDUP((($C$4*2)+($C$5*2))/12,0),ROUNDUP((($C$4*2)+$C$5)/12,0))</f>
        <v>5</v>
      </c>
      <c r="R28" s="5" t="s">
        <v>8</v>
      </c>
      <c r="S28" s="5"/>
      <c r="T28" s="5"/>
      <c r="U28" s="5"/>
    </row>
    <row r="29" spans="2:21" x14ac:dyDescent="0.25">
      <c r="B29" s="10" t="s">
        <v>40</v>
      </c>
      <c r="C29" s="4">
        <f>ROUNDUP(IF($L$6="Away from Home",(((($C$4*2)+($C$5*2))*12)/12)*3,(((($C$4*2)+$C$5)*12)/12)*3)+20,0)</f>
        <v>167</v>
      </c>
      <c r="R29" s="5" t="s">
        <v>18</v>
      </c>
      <c r="S29" s="5"/>
      <c r="T29" s="5"/>
      <c r="U29" s="5"/>
    </row>
    <row r="30" spans="2:21" x14ac:dyDescent="0.25">
      <c r="B30" s="10" t="s">
        <v>56</v>
      </c>
      <c r="C30" s="4">
        <v>1</v>
      </c>
      <c r="R30" s="5" t="s">
        <v>57</v>
      </c>
      <c r="S30" s="5"/>
      <c r="T30" s="5"/>
      <c r="U30" s="5"/>
    </row>
    <row r="31" spans="2:21" x14ac:dyDescent="0.25">
      <c r="B31" t="s">
        <v>58</v>
      </c>
      <c r="R31" s="5"/>
      <c r="S31" s="5"/>
      <c r="T31" s="5"/>
      <c r="U31" s="5"/>
    </row>
    <row r="32" spans="2:21" x14ac:dyDescent="0.25">
      <c r="B32" t="s">
        <v>60</v>
      </c>
      <c r="R32" s="5" t="s">
        <v>59</v>
      </c>
      <c r="S32" s="5"/>
      <c r="T32" s="5"/>
      <c r="U32" s="5"/>
    </row>
    <row r="33" spans="2:21" x14ac:dyDescent="0.25">
      <c r="B33" t="s">
        <v>61</v>
      </c>
      <c r="R33" s="5">
        <f>IF($J$6="Parallel (To Home)",IF($R$19&lt;=1,0,IF($R$19&lt;=2,1,TRUNC($R$19))),0)</f>
        <v>0</v>
      </c>
      <c r="S33" s="5">
        <f>IF($J$6="Perpendicular (To Home)",IF($S$19&lt;=1,0,IF($S$19&lt;=2,1,TRUNC($S$19))),0)</f>
        <v>0</v>
      </c>
      <c r="T33" s="5"/>
      <c r="U33" s="5"/>
    </row>
    <row r="34" spans="2:21" x14ac:dyDescent="0.25">
      <c r="R34" s="5" t="s">
        <v>62</v>
      </c>
      <c r="S34" s="5"/>
      <c r="T34" s="5"/>
      <c r="U34" s="5"/>
    </row>
    <row r="35" spans="2:21" x14ac:dyDescent="0.25">
      <c r="R35" s="5" cm="1">
        <f t="array" ref="R35">_xlfn.IFS(K6="16 IN",16,K6="12 IN",12,K6="24 IN",24)</f>
        <v>16</v>
      </c>
      <c r="S35" s="5"/>
      <c r="T35" s="5"/>
      <c r="U35" s="5"/>
    </row>
    <row r="36" spans="2:21" x14ac:dyDescent="0.25">
      <c r="R36" s="5" t="s">
        <v>63</v>
      </c>
      <c r="S36" s="5"/>
      <c r="T36" s="5"/>
      <c r="U36" s="5"/>
    </row>
    <row r="37" spans="2:21" x14ac:dyDescent="0.25">
      <c r="R37" s="5" t="s">
        <v>64</v>
      </c>
      <c r="S37" s="5">
        <f>IF($R$19&lt;=1,ROUNDUP(((($S$57*12)/$R$35)*$R$19),0)+1,(($S$57*12)/$R$35)+1)</f>
        <v>10</v>
      </c>
      <c r="T37" s="5">
        <f>IF($S$19&lt;=1,ROUNDUP(((($S$57*12)/$R$35)*$S$19),0)+1,(($S$57*12)/$R$35)+1)</f>
        <v>7</v>
      </c>
      <c r="U37" s="5"/>
    </row>
    <row r="38" spans="2:21" x14ac:dyDescent="0.25">
      <c r="R38" s="5" t="s">
        <v>65</v>
      </c>
      <c r="S38" s="5">
        <f>ROUNDUP(IF(AND($R$19&gt;1,$R$19&lt;2),IF($S$59=0,(($S$57*12)/$R$35)*($R$19-TRUNC($R$19)),(($S$59*12)/$R$35)*($R$23/$S$59)),IF($R$19&lt;1.0001,0,(($S$57*12)/$R$35))),0)</f>
        <v>9</v>
      </c>
      <c r="T38" s="5">
        <f>ROUNDUP(IF(AND($S$19&gt;1,$S$19&lt;2),IF($S$59=0,(($S$57*12)/$R$35)*($S$19-TRUNC($S$19)),(($S$59*12)/$R$35)*($S$23/$S$59)),IF($S$19&lt;1.0001,0,(($S$57*12)/$R$35))),0)</f>
        <v>0</v>
      </c>
      <c r="U38" s="5"/>
    </row>
    <row r="39" spans="2:21" x14ac:dyDescent="0.25">
      <c r="R39" s="5" t="s">
        <v>66</v>
      </c>
      <c r="S39" s="5">
        <f>ROUNDUP(IF(AND($R$19&gt;2,$R$19&lt;3),IF($S$59=0,(($S$57*12)/$R$35)*($R$19-TRUNC($R$19)),(($S$59*12)/$R$35)*($R$23/$S$59)),IF($R$19&lt;2.0001,0,(($S$57*12)/$R$35))),0)</f>
        <v>7</v>
      </c>
      <c r="T39" s="5">
        <f>ROUNDUP(IF(AND($S$19&gt;2,$S$19&lt;3),IF($S$59=0,(($S$57*12)/$R$35)*($S$19-TRUNC($S$19)),(($S$59*12)/$R$35)*($S$23/$S$59)),IF($S$19&lt;2.0001,0,(($S$57*12)/$R$35))),0)</f>
        <v>0</v>
      </c>
      <c r="U39" s="5"/>
    </row>
    <row r="40" spans="2:21" x14ac:dyDescent="0.25">
      <c r="R40" s="5" t="s">
        <v>67</v>
      </c>
      <c r="S40" s="5">
        <f>ROUNDUP(IF(AND($R$19&gt;3,$R$19&lt;4),IF($S$59=0,(($S$57*12)/$R$35)*($R$19-TRUNC($R$19)),(($S$59*12)/$R$35)*($R$23/$S$59)),IF($R$19&lt;3.0001,0,(($S$57*12)/$R$35))),0)</f>
        <v>0</v>
      </c>
      <c r="T40" s="5">
        <f>ROUNDUP(IF(AND($S$19&gt;3,$S$19&lt;4),IF($S$59=0,(($S$57*12)/$R$35)*($S$19-TRUNC($S$19)),(($S$59*12)/$R$35)*($S$23/$S$59)),IF($S$19&lt;3.0001,0,(($S$57*12)/$R$35))),0)</f>
        <v>0</v>
      </c>
      <c r="U40" s="5"/>
    </row>
    <row r="41" spans="2:21" x14ac:dyDescent="0.25">
      <c r="R41" s="5" t="s">
        <v>68</v>
      </c>
      <c r="S41" s="5">
        <f>ROUNDUP(IF(AND($R$19&gt;4,$R$19&lt;5),IF($S$59=0,(($S$57*12)/$R$35)*($R$19-TRUNC($R$19)),(($S$59*12)/$R$35)*($R$23/$S$59)),IF($R$19&lt;4.0001,0,(($S$57*12)/$R$35))),0)</f>
        <v>0</v>
      </c>
      <c r="T41" s="5">
        <f>ROUNDUP(IF(AND($S$19&gt;4,$S$19&lt;5),IF($S$59=0,(($S$57*12)/$R$35)*($S$19-TRUNC($S$19)),(($S$59*12)/$R$35)*($S$23/$S$59)),IF($S$19&lt;4.0001,0,(($S$57*12)/$R$35))),0)</f>
        <v>0</v>
      </c>
      <c r="U41" s="5"/>
    </row>
    <row r="42" spans="2:21" x14ac:dyDescent="0.25">
      <c r="R42" s="5" t="s">
        <v>69</v>
      </c>
      <c r="S42" s="5">
        <f>ROUNDUP(IF(AND($R$19&gt;5,$R$19&lt;6),IF($S$59=0,(($S$57*12)/$R$35)*($R$19-TRUNC($R$19)),(($S$59*12)/$R$35)*($R$23/$S$59)),IF($R$19&lt;5.0001,0,(($S$57*12)/$R$35))),0)</f>
        <v>0</v>
      </c>
      <c r="T42" s="5">
        <f>ROUNDUP(IF(AND($S$19&gt;5,$S$19&lt;6),IF($S$59=0,(($S$57*12)/$R$35)*($S$19-TRUNC($S$19)),(($S$59*12)/$R$35)*($S$23/$S$59)),IF($S$19&lt;5.0001,0,(($S$57*12)/$R$35))),0)</f>
        <v>0</v>
      </c>
      <c r="U42" s="5"/>
    </row>
    <row r="43" spans="2:21" x14ac:dyDescent="0.25">
      <c r="R43" s="5" t="s">
        <v>70</v>
      </c>
      <c r="S43" s="5">
        <f>ROUNDUP(IF(AND($R$19&gt;6,$R$19&lt;7),IF($S$59=0,(($S$57*12)/$R$35)*($R$19-TRUNC($R$19)),(($S$59*12)/$R$35)*($R$23/$S$59)),IF($R$19&lt;6.0001,0,(($S$57*12)/$R$35))),0)</f>
        <v>0</v>
      </c>
      <c r="T43" s="5">
        <f>ROUNDUP(IF(AND($S$19&gt;6,$S$19&lt;7),IF($S$59=0,(($S$57*12)/$R$35)*($S$19-TRUNC($S$19)),(($S$59*12)/$R$35)*($S$23/$S$59)),IF($S$19&lt;6.0001,0,(($S$57*12)/$R$35))),0)</f>
        <v>0</v>
      </c>
      <c r="U43" s="5"/>
    </row>
    <row r="44" spans="2:21" x14ac:dyDescent="0.25">
      <c r="R44" s="5"/>
      <c r="S44" s="5"/>
      <c r="T44" s="5"/>
      <c r="U44" s="5"/>
    </row>
    <row r="45" spans="2:21" x14ac:dyDescent="0.25">
      <c r="R45" s="5" t="s">
        <v>71</v>
      </c>
      <c r="S45" s="5"/>
      <c r="T45" s="5"/>
      <c r="U45" s="5"/>
    </row>
    <row r="46" spans="2:21" x14ac:dyDescent="0.25">
      <c r="R46" s="5" t="s">
        <v>72</v>
      </c>
      <c r="S46" s="5"/>
      <c r="T46" s="5"/>
      <c r="U46" s="5"/>
    </row>
    <row r="47" spans="2:21" x14ac:dyDescent="0.25">
      <c r="R47" s="5" t="s">
        <v>73</v>
      </c>
      <c r="S47" s="5"/>
      <c r="T47" s="5"/>
      <c r="U47" s="5"/>
    </row>
    <row r="48" spans="2:21" x14ac:dyDescent="0.25">
      <c r="R48" s="5" t="s">
        <v>13</v>
      </c>
      <c r="S48" s="5"/>
      <c r="T48" s="5"/>
      <c r="U48" s="5"/>
    </row>
    <row r="49" spans="18:21" x14ac:dyDescent="0.25">
      <c r="R49" s="5"/>
      <c r="S49" s="5"/>
      <c r="T49" s="5"/>
      <c r="U49" s="5"/>
    </row>
    <row r="50" spans="18:21" x14ac:dyDescent="0.25">
      <c r="R50" s="5" t="s">
        <v>74</v>
      </c>
      <c r="S50" s="5" t="s">
        <v>75</v>
      </c>
      <c r="T50" s="5" t="s">
        <v>76</v>
      </c>
      <c r="U50" s="5" t="s">
        <v>77</v>
      </c>
    </row>
    <row r="51" spans="18:21" x14ac:dyDescent="0.25">
      <c r="R51" s="5" t="s">
        <v>52</v>
      </c>
      <c r="S51" s="5" cm="1">
        <f t="array" ref="S51">IF($C$4&gt;=21,24,_xlfn.IFS($C$4&lt;=4,12,$C$4&lt;=5,12,$C$4&lt;=6,12,$C$4&lt;=7,16,$C$4&lt;=8,16,$C$4&lt;=9,20,$C$4&lt;=10,12,$C$4&lt;=11,12,$C$4&lt;=12,12,$C$4&lt;=16,16,$C$4&lt;=20,20))</f>
        <v>16</v>
      </c>
      <c r="T51" s="5">
        <f>ROUNDDOWN($S$51/$C$4,0)</f>
        <v>2</v>
      </c>
      <c r="U51" s="5">
        <f>ROUNDUP($S$58/$T$51,0)</f>
        <v>35</v>
      </c>
    </row>
    <row r="52" spans="18:21" x14ac:dyDescent="0.25">
      <c r="R52" s="5" t="s">
        <v>51</v>
      </c>
      <c r="S52" s="5" cm="1">
        <f t="array" ref="S52">IF($C$5&gt;=21,24,_xlfn.IFS($C$5&lt;=4,12,$C$5&lt;=5,12,$C$5&lt;=6,12,$C$5&lt;=7,16,$C$5&lt;=8,16,$C$5&lt;=9,20,$C$5&lt;=10,12,$C$5&lt;=11,12,$C$5&lt;=12,12,$C$5&lt;=16,16,$C$5&lt;=20,20))</f>
        <v>24</v>
      </c>
      <c r="T52" s="5">
        <f>ROUNDDOWN($S$52/$C$5,0)</f>
        <v>0</v>
      </c>
      <c r="U52" s="5" t="e">
        <f>ROUNDUP($S$58/$T$52,0)</f>
        <v>#DIV/0!</v>
      </c>
    </row>
    <row r="53" spans="18:21" x14ac:dyDescent="0.25">
      <c r="R53" s="5" t="s">
        <v>78</v>
      </c>
      <c r="S53" s="5"/>
      <c r="T53" s="5"/>
      <c r="U53" s="5"/>
    </row>
    <row r="54" spans="18:21" x14ac:dyDescent="0.25">
      <c r="R54" s="5" t="s">
        <v>52</v>
      </c>
      <c r="S54" s="5" cm="1">
        <f t="array" ref="S54">IF($S$23=0,0,IF($C$7&lt;=12,12,IF($C$7&lt;=16,_xlfn.IFS($S$23&lt;=4,16,$S$23&lt;=5,16,$S$23&lt;=6,12,$S$23&lt;=7,16,$S$23&lt;=8,16,$S$23&lt;=9,12,$S$23&lt;=10,12,$S$23&lt;=11,12,$S$23&lt;=12,12),IF($C$7&lt;=20,_xlfn.IFS($S$23&lt;=4,20,$S$23&lt;=5,20,$S$23&lt;=6,12,$S$23&lt;=7,16,$S$23&lt;=8,16,$S$23&lt;=9,20,$S$23&lt;=10,20,$S$23&lt;=11,12,$S$23&lt;=12,12),IF($C$7&lt;=24,_xlfn.IFS($S$23&lt;=4,24,$S$23&lt;=5,20,$S$23&lt;=6,24,$S$23&lt;=7,24,$S$23&lt;=8,24,$S$23&lt;=9,20,$S$23&lt;=10,20,$S$23&lt;=11,24,$S$23&lt;=12,24),0)))))</f>
        <v>0</v>
      </c>
      <c r="T54" s="5" t="e">
        <f>ROUNDDOWN($S$54/$S$23,0)</f>
        <v>#DIV/0!</v>
      </c>
      <c r="U54" s="5" t="e">
        <f>ROUNDUP($S$60/$T$54,0)</f>
        <v>#DIV/0!</v>
      </c>
    </row>
    <row r="55" spans="18:21" x14ac:dyDescent="0.25">
      <c r="R55" s="5" t="s">
        <v>51</v>
      </c>
      <c r="S55" s="5" cm="1">
        <f t="array" ref="S55">IF($R$23=0,0,IF($C$7&lt;=12,12,IF($C$7&lt;=16,_xlfn.IFS($R$23&lt;=4,16,$R$23&lt;=5,16,$R$23&lt;=6,12,$R$23&lt;=7,16,$R$23&lt;=8,16,$R$23&lt;=9,12,$R$23&lt;=10,12,$R$23&lt;=11,12,$R$23&lt;=12,12),IF($C$7&lt;=20,_xlfn.IFS($R$23&lt;=4,20,$R$23&lt;=5,20,$R$23&lt;=6,12,$R$23&lt;=7,16,$R$23&lt;=8,16,$R$23&lt;=9,20,$R$23&lt;=10,20,$R$23&lt;=11,12,$R$23&lt;=12,12),IF($C$7&lt;=24,_xlfn.IFS($R$23&lt;=4,24,$R$23&lt;=5,20,$R$23&lt;=6,24,$R$23&lt;=7,24,$R$23&lt;=8,24,$R$23&lt;=9,20,$R$23&lt;=10,20,$R$23&lt;=11,24,$R$23&lt;=12,24),0)))))</f>
        <v>12</v>
      </c>
      <c r="T55" s="5">
        <f>ROUNDDOWN($S$55/$R$23,0)</f>
        <v>1</v>
      </c>
      <c r="U55" s="5">
        <f>ROUNDUP($S$60/$T$55,0)</f>
        <v>0</v>
      </c>
    </row>
    <row r="56" spans="18:21" x14ac:dyDescent="0.25">
      <c r="R56" s="5"/>
      <c r="S56" s="5"/>
      <c r="T56" s="5"/>
      <c r="U56" s="5"/>
    </row>
    <row r="57" spans="18:21" x14ac:dyDescent="0.25">
      <c r="R57" s="5" t="s">
        <v>79</v>
      </c>
      <c r="S57" s="5" cm="1">
        <f t="array" ref="S57">IF($J$6="Parallel (To Home)",IF($C$5&gt;=21,24,_xlfn.IFS($C$5&lt;=12,12,$C$5&lt;=16,16,$C$5&lt;=20,20)),IF($C$4&gt;=21,24,_xlfn.IFS($C$4&lt;=12,12,$C$4&lt;=16,16,$C$4&lt;=20,20)))</f>
        <v>12</v>
      </c>
      <c r="T57" s="5"/>
      <c r="U57" s="5"/>
    </row>
    <row r="58" spans="18:21" x14ac:dyDescent="0.25">
      <c r="R58" s="5" t="s">
        <v>80</v>
      </c>
      <c r="S58" s="5">
        <f>IF($J$6="Parallel (To Home)",(ROUNDUP(($C$4*12)/5.75,0)*IF(S59=0,$R$17,IF($R$17=1,1,$R$17-1))),(ROUNDUP(($C$5*12)/5.75,0)*IF(S59=0,$S$17,IF($S$17=1,1,$S$17-1))))</f>
        <v>69</v>
      </c>
      <c r="T58" s="5"/>
      <c r="U58" s="5"/>
    </row>
    <row r="59" spans="18:21" x14ac:dyDescent="0.25">
      <c r="R59" s="5" t="s">
        <v>81</v>
      </c>
      <c r="S59" s="5" cm="1">
        <f t="array" ref="S59">IF($J$6="Parallel (To Home)",_xlfn.IFS($R$23=0,0,$R$23&lt;=12,12,$R$23&lt;=16,16,$R$23&lt;=20,20,$R$23&gt;20,0),_xlfn.IFS($S$23=0,0,$S$23&lt;=12,12,$S$23&lt;=16,16,$S$23&lt;=20,20,$S$23&gt;20,0))</f>
        <v>0</v>
      </c>
      <c r="T59" s="5"/>
      <c r="U59" s="5"/>
    </row>
    <row r="60" spans="18:21" x14ac:dyDescent="0.25">
      <c r="R60" s="5" t="s">
        <v>82</v>
      </c>
      <c r="S60" s="5">
        <f>IF($S$59&lt;&gt;0,IF($J$6="Parallel (To Home)",ROUNDUP(($C$4*12)/5.75,0),ROUNDUP(($C$5*12)/5.75,0)),0)</f>
        <v>0</v>
      </c>
      <c r="T60" s="5"/>
      <c r="U60" s="5"/>
    </row>
    <row r="61" spans="18:21" x14ac:dyDescent="0.25">
      <c r="R61" s="5"/>
      <c r="S61" s="5"/>
      <c r="T61" s="5"/>
      <c r="U61" s="5"/>
    </row>
    <row r="62" spans="18:21" x14ac:dyDescent="0.25">
      <c r="R62" s="5" t="s">
        <v>83</v>
      </c>
      <c r="S62" s="5"/>
      <c r="T62" s="5"/>
      <c r="U62" s="5"/>
    </row>
    <row r="63" spans="18:21" x14ac:dyDescent="0.25">
      <c r="R63" s="5" t="s">
        <v>20</v>
      </c>
      <c r="S63" s="5"/>
      <c r="T63" s="5"/>
      <c r="U63" s="5"/>
    </row>
    <row r="64" spans="18:21" x14ac:dyDescent="0.25">
      <c r="R64" s="5" t="s">
        <v>15</v>
      </c>
      <c r="S64" s="5"/>
      <c r="T64" s="5"/>
      <c r="U64" s="5"/>
    </row>
    <row r="65" spans="18:21" x14ac:dyDescent="0.25">
      <c r="R65" s="5"/>
      <c r="S65" s="5"/>
      <c r="T65" s="5"/>
      <c r="U65" s="5"/>
    </row>
    <row r="66" spans="18:21" x14ac:dyDescent="0.25">
      <c r="R66" s="5" t="s">
        <v>84</v>
      </c>
      <c r="S66" s="5" t="s">
        <v>85</v>
      </c>
      <c r="T66" s="5" t="s">
        <v>86</v>
      </c>
      <c r="U66" s="5" t="s">
        <v>87</v>
      </c>
    </row>
    <row r="67" spans="18:21" x14ac:dyDescent="0.25">
      <c r="R67" s="5">
        <f>IF(($C$29+$C$21+$C$14)&gt;740,1,0)</f>
        <v>0</v>
      </c>
      <c r="S67" s="5">
        <f>IF(($C$29+$C$21+$C$14)&lt;=185,1,IF(($C$29+$C$21+$C$14)&lt;=370,2,IF(($C$29+$C$21+$C$14)&lt;=555,2,IF(($C$29+$C$21+$C$14)&lt;=740,4,0))))</f>
        <v>2</v>
      </c>
      <c r="T67" s="5">
        <f>SUM(R67:R73)</f>
        <v>0</v>
      </c>
      <c r="U67" s="5">
        <f>SUM(S67:S73)</f>
        <v>2</v>
      </c>
    </row>
    <row r="68" spans="18:21" x14ac:dyDescent="0.25">
      <c r="R68" s="5">
        <f>IF(($C$29+$C$21+$C$14)&gt;1640,1,0)</f>
        <v>0</v>
      </c>
      <c r="S68" s="5">
        <f>IF(($C$29+$C$21+$C$14)&gt;900,IF(($C$29+$C$21+$C$14)&lt;1085,1,IF(($C$29+$C$21+$C$14)&lt;=1270,2,IF(($C$29+$C$21+$C$14)&lt;=1455,3,IF(($C$29+$C$21+$C$14)&lt;=1640,4,0)))),0)</f>
        <v>0</v>
      </c>
      <c r="T68" s="5"/>
      <c r="U68" s="5"/>
    </row>
    <row r="69" spans="18:21" x14ac:dyDescent="0.25">
      <c r="R69" s="5">
        <f>IF(($C$29+$C$21+$C$14)&gt;2540,1,0)</f>
        <v>0</v>
      </c>
      <c r="S69" s="5">
        <f>IF(($C$29+$C$21+$C$14)&gt;1800,IF(($C$29+$C$21+$C$14)&lt;=1985,1,IF(($C$29+$C$21+$C$14)&lt;=2170,2,IF(($C$29+$C$21+$C$14)&lt;=2355,3,IF(($C$29+$C$21+$C$14)&lt;=2540,4,0)))),0)</f>
        <v>0</v>
      </c>
      <c r="T69" s="5"/>
      <c r="U69" s="5"/>
    </row>
    <row r="70" spans="18:21" x14ac:dyDescent="0.25">
      <c r="R70" s="5">
        <f>IF(($C$29+$C$21+$C$14)&gt;3440,1,0)</f>
        <v>0</v>
      </c>
      <c r="S70" s="5">
        <f>IF(($C$29+$C$21+$C$14)&gt;2700,IF(($C$29+$C$21+$C$14)&lt;=2885,1,IF(($C$29+$C$21+$C$14)&lt;=3070,2,IF(($C$29+$C$21+$C$14)&lt;=3255,3,IF(($C$29+$C$21+$C$14)&lt;=3440,4,0)))),0)</f>
        <v>0</v>
      </c>
      <c r="T70" s="5"/>
      <c r="U70" s="5"/>
    </row>
    <row r="71" spans="18:21" x14ac:dyDescent="0.25">
      <c r="R71" s="5">
        <f>IF(($C$29+$C$21+$C$14)&gt;4340,1,0)</f>
        <v>0</v>
      </c>
      <c r="S71" s="5">
        <f>IF(($C$29+$C$21+$C$14)&gt;3600,IF(($C$29+$C$21+$C$14)&lt;=3785,1,IF(($C$29+$C$21+$C$14)&lt;=3970,2,IF(($C$29+$C$21+$C$14)&lt;=4155,3,IF(($C$29+$C$21+$C$14)&lt;=4340,4,0)))),0)</f>
        <v>0</v>
      </c>
      <c r="T71" s="5"/>
      <c r="U71" s="5"/>
    </row>
    <row r="72" spans="18:21" x14ac:dyDescent="0.25">
      <c r="R72" s="5">
        <f>IF(($C$29+$C$21+$C$14)&gt;5240,1,0)</f>
        <v>0</v>
      </c>
      <c r="S72" s="5">
        <f>IF(($C$29+$C$21+$C$14)&gt;4500,IF(($C$29+$C$21+$C$14)&lt;=4685,1,IF(($C$29+$C$21+$C$14)&lt;=4870,2,IF(($C$29+$C$21+$C$14)&lt;=5055,3,IF(($C$29+$C$21+$C$14)&lt;=5240,4,0)))),0)</f>
        <v>0</v>
      </c>
      <c r="T72" s="5"/>
      <c r="U72" s="5"/>
    </row>
    <row r="73" spans="18:21" x14ac:dyDescent="0.25">
      <c r="R73" s="5">
        <f>IF(($C$29+$C$21+$C$14)&gt;6140,1,0)</f>
        <v>0</v>
      </c>
      <c r="S73" s="5">
        <f>IF(($C$29+$C$21+$C$14)&gt;5400,IF(($C$29+$C$21+$C$14)&lt;=5585,1,IF(($C$29+$C$21+$C$14)&lt;=5770,2,IF(($C$29+$C$21+$C$14)&lt;=5955,3,IF(($C$29+$C$21+$C$14)&lt;=6140,4,0)))),0)</f>
        <v>0</v>
      </c>
      <c r="T73" s="5"/>
      <c r="U73" s="5"/>
    </row>
    <row r="74" spans="18:21" x14ac:dyDescent="0.25">
      <c r="R74" s="5" t="s">
        <v>88</v>
      </c>
      <c r="S74" s="5" t="s">
        <v>89</v>
      </c>
      <c r="T74" s="5" t="s">
        <v>90</v>
      </c>
      <c r="U74" s="5" t="s">
        <v>91</v>
      </c>
    </row>
    <row r="75" spans="18:21" x14ac:dyDescent="0.25">
      <c r="R75" s="5">
        <f>IF($C$22&gt;740,1,0)</f>
        <v>0</v>
      </c>
      <c r="S75" s="5">
        <f>IF($C$22&lt;=185,1,IF($C$22&lt;=370,2,IF($C$22&lt;=555,2,IF($C$22&lt;=740,4,0))))</f>
        <v>2</v>
      </c>
      <c r="T75" s="5">
        <f>SUM(R75:R81)</f>
        <v>0</v>
      </c>
      <c r="U75" s="5">
        <f>SUM(S75:S81)</f>
        <v>2</v>
      </c>
    </row>
    <row r="76" spans="18:21" x14ac:dyDescent="0.25">
      <c r="R76" s="5">
        <f>IF($C$22&gt;1640,1,0)</f>
        <v>0</v>
      </c>
      <c r="S76" s="5">
        <f>IF($C$22&gt;900,IF($C$22&lt;1085,1,IF($C$22&lt;=1270,2,IF($C$22&lt;=1455,3,IF($C$22&lt;=1640,4,0)))),0)</f>
        <v>0</v>
      </c>
      <c r="T76" s="5"/>
      <c r="U76" s="5"/>
    </row>
    <row r="77" spans="18:21" x14ac:dyDescent="0.25">
      <c r="R77" s="5">
        <f>IF($C$22&gt;2540,1,0)</f>
        <v>0</v>
      </c>
      <c r="S77" s="5">
        <f>IF($C$22&gt;1800,IF($C$22&lt;=1985,1,IF($C$22&lt;=2170,2,IF($C$22&lt;=2355,3,IF($C$22&lt;=2540,4,0)))),0)</f>
        <v>0</v>
      </c>
      <c r="T77" s="5"/>
      <c r="U77" s="5"/>
    </row>
    <row r="78" spans="18:21" x14ac:dyDescent="0.25">
      <c r="R78" s="5">
        <f>IF($C$22&gt;3440,1,0)</f>
        <v>0</v>
      </c>
      <c r="S78" s="5">
        <f>IF($C$22&gt;2700,IF($C$22&lt;=2885,1,IF($C$22&lt;=3070,2,IF($C$22&lt;=3255,3,IF($C$22&lt;=3440,4,0)))),0)</f>
        <v>0</v>
      </c>
      <c r="T78" s="5"/>
      <c r="U78" s="5"/>
    </row>
    <row r="79" spans="18:21" x14ac:dyDescent="0.25">
      <c r="R79" s="5">
        <f>IF($C$22&gt;4340,1,0)</f>
        <v>0</v>
      </c>
      <c r="S79" s="5">
        <f>IF($C$22&gt;3600,IF($C$22&lt;=3785,1,IF($C$22&lt;=3970,2,IF($C$22&lt;=4155,3,IF($C$22&lt;=4340,4,0)))),0)</f>
        <v>0</v>
      </c>
      <c r="T79" s="5"/>
      <c r="U79" s="5"/>
    </row>
    <row r="80" spans="18:21" x14ac:dyDescent="0.25">
      <c r="R80" s="5">
        <f>IF($C$22&gt;5240,1,0)</f>
        <v>0</v>
      </c>
      <c r="S80" s="5">
        <f>IF($C$22&gt;4500,IF($C$22&lt;=4685,1,IF($C$22&lt;=4870,2,IF($C$22&lt;=5055,3,IF($C$22&lt;=5240,4,0)))),0)</f>
        <v>0</v>
      </c>
      <c r="T80" s="5"/>
      <c r="U80" s="5"/>
    </row>
    <row r="81" spans="18:21" x14ac:dyDescent="0.25">
      <c r="R81" s="5">
        <f>IF($C$22&gt;6140,1,0)</f>
        <v>0</v>
      </c>
      <c r="S81" s="5">
        <f>IF($C$22&gt;5400,IF($C$22&lt;=5585,1,IF($C$22&lt;=5770,2,IF($C$22&lt;=5955,3,IF($C$22&lt;=6140,4,0)))),0)</f>
        <v>0</v>
      </c>
      <c r="T81" s="5"/>
      <c r="U81" s="5"/>
    </row>
  </sheetData>
  <sheetProtection sheet="1" objects="1" scenarios="1"/>
  <mergeCells count="4">
    <mergeCell ref="B16:C16"/>
    <mergeCell ref="B27:C27"/>
    <mergeCell ref="G12:H12"/>
    <mergeCell ref="A1:XFD1"/>
  </mergeCells>
  <dataValidations count="7">
    <dataValidation type="list" allowBlank="1" showInputMessage="1" showErrorMessage="1" sqref="K6" xr:uid="{BFD3F172-9C6A-4C45-BB16-EF91FDE17655}">
      <formula1>$R$7:$R$9</formula1>
    </dataValidation>
    <dataValidation type="list" allowBlank="1" showInputMessage="1" showErrorMessage="1" sqref="J6" xr:uid="{6DC82001-B360-4736-8EA5-B21DB1B6204B}">
      <formula1>$R$12:$R$12</formula1>
    </dataValidation>
    <dataValidation type="list" allowBlank="1" showInputMessage="1" showErrorMessage="1" sqref="L6" xr:uid="{E110A290-B379-4963-8FA2-B304A13D65B0}">
      <formula1>$R$29:$R$30</formula1>
    </dataValidation>
    <dataValidation type="list" allowBlank="1" showInputMessage="1" showErrorMessage="1" sqref="J3" xr:uid="{B51D3934-7DFE-435E-B813-2B29D752A54A}">
      <formula1>$R$46:$R$48</formula1>
    </dataValidation>
    <dataValidation type="list" allowBlank="1" showInputMessage="1" showErrorMessage="1" sqref="L3" xr:uid="{4ED10436-E343-445A-B492-E4CB4B807725}">
      <formula1>$R$3:$R$5</formula1>
    </dataValidation>
    <dataValidation type="list" allowBlank="1" showInputMessage="1" showErrorMessage="1" sqref="M3" xr:uid="{2E0486E5-C2A2-4C3E-A6E7-E6B89B017B60}">
      <formula1>$R$63:$R$64</formula1>
    </dataValidation>
    <dataValidation type="list" allowBlank="1" showInputMessage="1" showErrorMessage="1" sqref="K3" xr:uid="{79AD0B55-3812-4A14-A33F-9F874280C8D5}">
      <formula1>$S$3:$S$5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66EDF-3808-4977-90F3-9D947CB64148}">
  <dimension ref="B1:W100"/>
  <sheetViews>
    <sheetView zoomScale="80" zoomScaleNormal="80" workbookViewId="0">
      <selection activeCell="B53" sqref="B53"/>
    </sheetView>
  </sheetViews>
  <sheetFormatPr defaultColWidth="8.85546875" defaultRowHeight="15" x14ac:dyDescent="0.25"/>
  <cols>
    <col min="2" max="2" width="60.7109375" customWidth="1"/>
    <col min="3" max="3" width="18.7109375" customWidth="1"/>
    <col min="4" max="4" width="8.7109375" customWidth="1"/>
    <col min="5" max="5" width="25.7109375" customWidth="1"/>
    <col min="6" max="6" width="8.7109375" customWidth="1"/>
    <col min="7" max="7" width="31.7109375" customWidth="1"/>
    <col min="8" max="8" width="13.7109375" customWidth="1"/>
    <col min="10" max="11" width="26.7109375" bestFit="1" customWidth="1"/>
    <col min="12" max="12" width="23.42578125" bestFit="1" customWidth="1"/>
    <col min="13" max="13" width="16.28515625" bestFit="1" customWidth="1"/>
    <col min="14" max="14" width="15.7109375" customWidth="1"/>
    <col min="15" max="15" width="19.28515625" bestFit="1" customWidth="1"/>
    <col min="16" max="16" width="22.42578125" bestFit="1" customWidth="1"/>
    <col min="17" max="17" width="12.5703125" bestFit="1" customWidth="1"/>
    <col min="18" max="18" width="15.85546875" bestFit="1" customWidth="1"/>
    <col min="20" max="20" width="38.85546875" hidden="1" customWidth="1"/>
    <col min="21" max="21" width="20.85546875" hidden="1" customWidth="1"/>
    <col min="22" max="22" width="18.7109375" hidden="1" customWidth="1"/>
    <col min="23" max="23" width="24.140625" hidden="1" customWidth="1"/>
  </cols>
  <sheetData>
    <row r="1" spans="2:23" s="21" customFormat="1" ht="219.95" customHeight="1" x14ac:dyDescent="0.25"/>
    <row r="2" spans="2:23" x14ac:dyDescent="0.25">
      <c r="B2" s="6" t="s">
        <v>0</v>
      </c>
      <c r="G2" s="6" t="s">
        <v>1</v>
      </c>
      <c r="J2" s="7" t="s">
        <v>2</v>
      </c>
      <c r="K2" s="7" t="s">
        <v>3</v>
      </c>
      <c r="L2" s="7" t="s">
        <v>92</v>
      </c>
      <c r="M2" s="7" t="s">
        <v>4</v>
      </c>
      <c r="N2" s="7" t="s">
        <v>8</v>
      </c>
      <c r="T2" s="5" t="s">
        <v>95</v>
      </c>
      <c r="U2" s="5" t="s">
        <v>10</v>
      </c>
      <c r="V2" s="5"/>
      <c r="W2" s="5"/>
    </row>
    <row r="3" spans="2:23" x14ac:dyDescent="0.25">
      <c r="C3" s="8" t="s">
        <v>11</v>
      </c>
      <c r="E3" s="9" t="s">
        <v>12</v>
      </c>
      <c r="H3" s="8" t="s">
        <v>11</v>
      </c>
      <c r="J3" s="2" t="s">
        <v>72</v>
      </c>
      <c r="K3" s="2" t="s">
        <v>15</v>
      </c>
      <c r="L3" s="2" t="s">
        <v>96</v>
      </c>
      <c r="M3" s="2" t="s">
        <v>97</v>
      </c>
      <c r="N3" s="2" t="s">
        <v>18</v>
      </c>
      <c r="T3" s="5" t="s">
        <v>96</v>
      </c>
      <c r="U3" s="5" t="s">
        <v>14</v>
      </c>
      <c r="V3" s="5"/>
      <c r="W3" s="5"/>
    </row>
    <row r="4" spans="2:23" x14ac:dyDescent="0.25">
      <c r="B4" s="10" t="s">
        <v>125</v>
      </c>
      <c r="C4" s="1">
        <v>12</v>
      </c>
      <c r="E4" s="11">
        <f>C4*12</f>
        <v>144</v>
      </c>
      <c r="G4" s="10" t="s">
        <v>19</v>
      </c>
      <c r="H4" s="1">
        <v>10</v>
      </c>
      <c r="T4" s="5" t="s">
        <v>99</v>
      </c>
      <c r="U4" s="5" t="s">
        <v>20</v>
      </c>
      <c r="V4" s="5"/>
      <c r="W4" s="5"/>
    </row>
    <row r="5" spans="2:23" x14ac:dyDescent="0.25">
      <c r="B5" s="10" t="s">
        <v>126</v>
      </c>
      <c r="C5" s="1">
        <v>30</v>
      </c>
      <c r="E5" s="9" t="s">
        <v>21</v>
      </c>
      <c r="G5" s="10" t="s">
        <v>22</v>
      </c>
      <c r="H5" s="1">
        <v>3</v>
      </c>
      <c r="J5" s="7" t="s">
        <v>93</v>
      </c>
      <c r="K5" s="7" t="s">
        <v>94</v>
      </c>
      <c r="L5" s="7" t="s">
        <v>6</v>
      </c>
      <c r="M5" s="7" t="s">
        <v>7</v>
      </c>
      <c r="T5" s="5"/>
      <c r="U5" s="5" t="s">
        <v>15</v>
      </c>
      <c r="V5" s="5"/>
      <c r="W5" s="5"/>
    </row>
    <row r="6" spans="2:23" x14ac:dyDescent="0.25">
      <c r="B6" s="12" t="s">
        <v>127</v>
      </c>
      <c r="C6" s="13"/>
      <c r="E6" s="11">
        <f>C5*12</f>
        <v>360</v>
      </c>
      <c r="G6" s="10" t="s">
        <v>23</v>
      </c>
      <c r="H6" s="1">
        <v>7</v>
      </c>
      <c r="J6" s="2" t="s">
        <v>15</v>
      </c>
      <c r="K6" s="2" t="s">
        <v>98</v>
      </c>
      <c r="L6" s="2" t="s">
        <v>16</v>
      </c>
      <c r="M6" s="2" t="s">
        <v>17</v>
      </c>
      <c r="T6" s="5" t="s">
        <v>24</v>
      </c>
      <c r="U6" s="5"/>
      <c r="V6" s="5"/>
      <c r="W6" s="5"/>
    </row>
    <row r="7" spans="2:23" x14ac:dyDescent="0.25">
      <c r="B7" s="10" t="s">
        <v>25</v>
      </c>
      <c r="C7" s="3" cm="1">
        <f t="array" ref="C7">IF($L$6="Parallel (To Home)",IF($C$5&gt;=21,24,_xlfn.IFS($C$5&lt;=4,12,$C$5&lt;=5,12,$C$5&lt;=6,12,$C$5&lt;=7,16,$C$5&lt;=8,16,$C$5&lt;=9,20,$C$5&lt;=10,12,$C$5&lt;=11,12,$C$5&lt;=12,12,$C$5&lt;=16,16,$C$5&lt;=20,20)),IF($C$4&gt;=21,24,_xlfn.IFS($C$4&lt;=4,12,$C$4&lt;=5,12,$C$4&lt;=6,12,$C$4&lt;=7,16,$C$4&lt;=8,16,$C$4&lt;=9,20,$C$4&lt;=10,12,$C$4&lt;=11,12,$C$4&lt;=12,12,$C$4&lt;=16,16,$C$4&lt;=20,20)))</f>
        <v>12</v>
      </c>
      <c r="E7" s="9" t="s">
        <v>26</v>
      </c>
      <c r="G7" s="10" t="s">
        <v>27</v>
      </c>
      <c r="H7" s="1">
        <v>11</v>
      </c>
      <c r="T7" s="5" t="s">
        <v>28</v>
      </c>
      <c r="U7" s="5" t="s">
        <v>93</v>
      </c>
      <c r="V7" s="5"/>
      <c r="W7" s="5"/>
    </row>
    <row r="8" spans="2:23" x14ac:dyDescent="0.25">
      <c r="B8" s="10" t="s">
        <v>29</v>
      </c>
      <c r="C8" s="3">
        <f>IF($L$6="Parallel (to Home)",IF($C$5&lt;=12,$W$52,$U$58),IF($C$4&lt;=12,$W$51,$U$58))</f>
        <v>61</v>
      </c>
      <c r="E8" s="11">
        <f>C5*C4</f>
        <v>360</v>
      </c>
      <c r="T8" s="5" t="s">
        <v>17</v>
      </c>
      <c r="U8" s="5" t="s">
        <v>20</v>
      </c>
      <c r="V8" s="5"/>
      <c r="W8" s="5"/>
    </row>
    <row r="9" spans="2:23" x14ac:dyDescent="0.25">
      <c r="B9" s="10" t="s">
        <v>30</v>
      </c>
      <c r="C9" s="3">
        <f>IF($L$6="Parallel (To Home)",$U$55,$U$54)</f>
        <v>0</v>
      </c>
      <c r="G9" s="10" t="s">
        <v>31</v>
      </c>
      <c r="H9" s="3" cm="1">
        <f t="array" ref="H9">_xlfn.IFS($H$5&lt;=3,24,$H$5&lt;=4,24,$H$5&lt;=5,20,$H$5&lt;=6,24)</f>
        <v>24</v>
      </c>
      <c r="T9" s="5" t="s">
        <v>32</v>
      </c>
      <c r="U9" s="5" t="s">
        <v>15</v>
      </c>
      <c r="V9" s="5"/>
      <c r="W9" s="5"/>
    </row>
    <row r="10" spans="2:23" x14ac:dyDescent="0.25">
      <c r="B10" s="10" t="s">
        <v>33</v>
      </c>
      <c r="C10" s="3">
        <f>IF($L$6="Parallel (To Home)",IF($T$23=0,0,IF($T$23&lt;=12,$W$55,$U$60)),IF($U$23=0,0,IF($U$23&lt;=12,$W$54,$U$60)))</f>
        <v>0</v>
      </c>
      <c r="G10" s="10" t="str">
        <f>_xlfn.CONCAT(J3," ","Boards Needed")</f>
        <v>I.Dekk S4S Boards Needed</v>
      </c>
      <c r="H10" s="3">
        <f>ROUNDUP((($H$4*12)/$H$6)*(IF($J$3="OPTIMA Dekk",ROUNDUP(($H$7/5.5),0),IF($J$3="I.Dekk S4S",ROUNDUP(($H$7/5.5),0),ROUNDUP(($H$7/5.5),0))))/ROUNDDOWN(($H$9/$H$5),0),0)</f>
        <v>5</v>
      </c>
      <c r="T10" s="5"/>
      <c r="U10" s="5"/>
      <c r="V10" s="5"/>
      <c r="W10" s="5"/>
    </row>
    <row r="11" spans="2:23" x14ac:dyDescent="0.25">
      <c r="B11" s="14"/>
      <c r="T11" s="5" t="s">
        <v>35</v>
      </c>
      <c r="U11" s="5" t="s">
        <v>100</v>
      </c>
      <c r="V11" s="5"/>
      <c r="W11" s="5"/>
    </row>
    <row r="12" spans="2:23" x14ac:dyDescent="0.25">
      <c r="B12" s="20" t="s">
        <v>36</v>
      </c>
      <c r="C12" s="20"/>
      <c r="G12" s="20" t="s">
        <v>36</v>
      </c>
      <c r="H12" s="20"/>
      <c r="T12" s="5" t="s">
        <v>16</v>
      </c>
      <c r="U12" s="5" t="s">
        <v>101</v>
      </c>
      <c r="V12" s="5"/>
      <c r="W12" s="5"/>
    </row>
    <row r="13" spans="2:23" x14ac:dyDescent="0.25">
      <c r="B13" s="10" t="s">
        <v>102</v>
      </c>
      <c r="C13" s="3">
        <f>IF($L$6="Perpendicular (To Home)",IF($L$3="Tongue &amp; Groove",(($U$58+$U$60)*4),((ROUNDUP((($C$5*12)/5.3125),0)*$V$37*2)+(ROUNDUP((($C$5*12)/5.3125),0)*$V$38*2)+(ROUNDUP((($C$5*12)/5.3125),0)*$V$39*2)+(ROUNDUP((($C$5*12)/5.3125),0)*$V$40*2)+(ROUNDUP((($C$5*12)/5.3125),0)*$V$41*2)+(ROUNDUP((($C$5*12)/5.3125),0)*$V$42*2)+(ROUNDUP((($C$5*12)/5.3125),0)*$V$43*2))+(($U$58+$U$60)*4)),IF($L$3="Tongue &amp; Groove",(($U$58+$U$60)*4),((ROUNDUP((($C$4*12)/5.3125),0)*$U$37*2)+(ROUNDUP((($C$4*12)/5.3125),0)*$U$38*2)+(ROUNDUP((($C$4*12)/5.3125),0)*$U$39*2)+(ROUNDUP((($C$4*12)/5.3125),0)*$U$40*2)+(ROUNDUP((($C$4*12)/5.3125),0)*$U$41*2)+(ROUNDUP((($C$4*12)/5.3125),0)*$U$42*2)+(ROUNDUP((($C$4*12)/5.3125),0)*$U$43*2))+(($U$58+$U$60)*4)))+30</f>
        <v>274</v>
      </c>
      <c r="G13" s="10" t="s">
        <v>38</v>
      </c>
      <c r="H13" s="3">
        <f>ROUNDUP(ROUNDUP(($H$4*12)/$H$6,0)/ROUNDUP((12/$H$5),0)/IF($H$6&lt;=6,2,1),0)</f>
        <v>5</v>
      </c>
      <c r="T13" s="5" t="s">
        <v>103</v>
      </c>
      <c r="U13" s="5" t="s">
        <v>98</v>
      </c>
      <c r="V13" s="5"/>
      <c r="W13" s="5"/>
    </row>
    <row r="14" spans="2:23" x14ac:dyDescent="0.25">
      <c r="B14" s="10" t="s">
        <v>104</v>
      </c>
      <c r="C14" s="3">
        <f>IF(L3="Tongue &amp; Groove",IF($L$6="Perpendicular (To Home)",IF($L$3="Tongue &amp; Groove",((ROUNDUP((($C$5*12)/5.9375),0)*$V$37)+(ROUNDUP((($C$5*12)/5.9375),0)*$V$38)+(ROUNDUP((($C$5*12)/5.9375),0)*$V$39)+(ROUNDUP((($C$5*12)/5.9375),0)*$V$40)+(ROUNDUP((($C$5*12)/5.9375),0)*$V$41)+(ROUNDUP((($C$5*12)/5.9375),0)*$V$42)+(ROUNDUP((($C$5*12)/5.9375),0)*$V$43)),0),IF($L$3="Tongue &amp; Groove",((ROUNDUP((($C$4*12)/5.9375),0)*$U$37)+(ROUNDUP((($C$4*12)/5.9375),0)*$U$38)+(ROUNDUP((($C$4*12)/5.9375),0)*$U$39)+(ROUNDUP((($C$4*12)/5.9375),0)*$U$40)+(ROUNDUP((($C$4*12)/5.9375),0)*$U$41)+(ROUNDUP((($C$4*12)/5.9375),0)*$U$42)+(ROUNDUP((($C$4*12)/5.9375),0)*$U$43)),0))+IF(L6="Parallel (To Home)",ROUNDUP((($C$4*12)/5.9375),0)*$T$33*2,ROUNDUP((($C$5*12)/5.9375),0)*$U$33*2)+30,0)</f>
        <v>640</v>
      </c>
      <c r="G14" s="10" t="s">
        <v>40</v>
      </c>
      <c r="H14" s="3">
        <f>ROUNDUP((($H$5*12)/12)*3*ROUNDUP(($H$4*12)/$H$6,0)*IF($H$6&lt;=6,2,1)+20,0)</f>
        <v>182</v>
      </c>
      <c r="T14" s="5"/>
      <c r="U14" s="5"/>
      <c r="V14" s="5"/>
      <c r="W14" s="5"/>
    </row>
    <row r="15" spans="2:23" x14ac:dyDescent="0.25">
      <c r="T15" s="5"/>
      <c r="U15" s="5"/>
      <c r="V15" s="5"/>
      <c r="W15" s="5"/>
    </row>
    <row r="16" spans="2:23" x14ac:dyDescent="0.25">
      <c r="B16" s="20" t="s">
        <v>55</v>
      </c>
      <c r="C16" s="20"/>
      <c r="G16" s="10" t="str">
        <f>IF(J3="OPTIMA Dekk","2 3/4 IN (Or Longer) Screws)","2 1/2 IN (Or longer) Screws")</f>
        <v>2 1/2 IN (Or longer) Screws</v>
      </c>
      <c r="H16" s="3">
        <f>ROUNDUP(((($H$5*12)/12)+1)*2*ROUNDUP($H$7/5.5,0)*ROUNDUP(($H$4*12)/$H$6,0)+20,0)</f>
        <v>308</v>
      </c>
      <c r="T16" s="5" t="s">
        <v>41</v>
      </c>
      <c r="U16" s="5"/>
      <c r="V16" s="5"/>
      <c r="W16" s="5"/>
    </row>
    <row r="17" spans="2:23" x14ac:dyDescent="0.25">
      <c r="B17" s="10" t="s">
        <v>105</v>
      </c>
      <c r="C17" s="4">
        <f>IF($N$3="Away from Home",ROUNDUP((($C$4*2)+($C$5*2))/$U$57,0),ROUNDUP((($C$4*2)+$C$5)/$U$57,0))</f>
        <v>5</v>
      </c>
      <c r="T17" s="5">
        <f>IF(ROUND(($C$5/$U$57),0)&gt;0,ROUND(($C$5/$U$57),0),1)</f>
        <v>3</v>
      </c>
      <c r="U17" s="5">
        <f>IF(ROUND(($C$4/$U$57),0)&gt;1,ROUND(($C$4/$U$57),0),1)</f>
        <v>1</v>
      </c>
      <c r="V17" s="5"/>
      <c r="W17" s="5"/>
    </row>
    <row r="18" spans="2:23" x14ac:dyDescent="0.25">
      <c r="B18" s="10" t="s">
        <v>106</v>
      </c>
      <c r="C18" s="4">
        <f>ROUNDUP(IF($N$3="Away from Home",(((($C$4*2)+($C$5*2))*12)/16)*2,(((($C$4*2)+$C$5)*12)/16)*2),0)+20</f>
        <v>101</v>
      </c>
      <c r="T18" s="5" t="s">
        <v>44</v>
      </c>
      <c r="U18" s="5"/>
      <c r="V18" s="5"/>
      <c r="W18" s="5"/>
    </row>
    <row r="19" spans="2:23" x14ac:dyDescent="0.25">
      <c r="G19" s="18" t="s">
        <v>128</v>
      </c>
      <c r="H19" s="19"/>
      <c r="I19" s="19"/>
      <c r="J19" s="19"/>
      <c r="T19" s="5">
        <f>$C$5/$U$57</f>
        <v>2.5</v>
      </c>
      <c r="U19" s="5">
        <f>$C$4/$U$57</f>
        <v>1</v>
      </c>
      <c r="V19" s="5"/>
      <c r="W19" s="5"/>
    </row>
    <row r="20" spans="2:23" x14ac:dyDescent="0.25">
      <c r="B20" s="10" t="s">
        <v>107</v>
      </c>
      <c r="C20" s="3">
        <f>IF($L$6="Parallel (To Home)",ROUNDUP(($C$4/$U$57),0)*$T$33,ROUNDUP(($C$5/$U$57),0)*$U$33)</f>
        <v>0</v>
      </c>
      <c r="T20" s="5" t="s">
        <v>46</v>
      </c>
      <c r="U20" s="5"/>
      <c r="V20" s="5"/>
      <c r="W20" s="5"/>
    </row>
    <row r="21" spans="2:23" x14ac:dyDescent="0.25">
      <c r="B21" s="10" t="s">
        <v>108</v>
      </c>
      <c r="C21" s="3">
        <f>ROUNDUP(IF($C$20=0,0,IF($L$6="Perpendicular (To Home)",IF(($C$4-$U$57)&gt;($U$57*3),(4*$T$26*2),IF(($C$4-$U$57)&gt;($U$57*2),(3*$T$26*2),IF(($C$4-$U$57)&gt;($U$57),(2*$T$26*2),IF(($C$4-$U$57)&gt;0,($T$26*2),0)))),IF(($C$5-$U$57)&gt;($U$57*3),(4*$T$26*2),IF(($C$5-$U$57)&gt;($U$57*2),(3*$T$26*2),IF(($C$5-$U$57)&gt;($U$57),(2*$T$26*2),IF(($C$5-$U$57)&gt;0,($T$26*2),0)))))+20),0)</f>
        <v>0</v>
      </c>
      <c r="T21" s="5">
        <f>IF($T$19&lt;=1,0,ABS($T$19-TRUNC($T$19)))</f>
        <v>0.5</v>
      </c>
      <c r="U21" s="5">
        <f>IF($U$19&lt;=1,0,ABS($U$19-TRUNC($U$19)))</f>
        <v>0</v>
      </c>
      <c r="V21" s="5"/>
      <c r="W21" s="5"/>
    </row>
    <row r="22" spans="2:23" x14ac:dyDescent="0.25">
      <c r="T22" s="5" t="s">
        <v>49</v>
      </c>
      <c r="U22" s="5"/>
      <c r="V22" s="5"/>
      <c r="W22" s="5"/>
    </row>
    <row r="23" spans="2:23" x14ac:dyDescent="0.25">
      <c r="B23" s="10" t="s">
        <v>38</v>
      </c>
      <c r="C23" s="4">
        <f>IF($N$3="Away from Home",ROUNDUP((($C$4*2)+($C$5*2))/12,0),ROUNDUP((($C$4*2)+$C$5)/12,0))</f>
        <v>5</v>
      </c>
      <c r="T23" s="5">
        <f>$U$57*$T$21</f>
        <v>6</v>
      </c>
      <c r="U23" s="5">
        <f>$U$57*$U$21</f>
        <v>0</v>
      </c>
      <c r="V23" s="5"/>
      <c r="W23" s="5"/>
    </row>
    <row r="24" spans="2:23" x14ac:dyDescent="0.25">
      <c r="B24" s="10" t="s">
        <v>40</v>
      </c>
      <c r="C24" s="4">
        <f>ROUNDUP(IF($N$3="Away from Home",(((($C$4*2)+($C$5*2))*12)/12)*3,(((($C$4*2)+$C$5)*12)/12)*3)+20,0)</f>
        <v>182</v>
      </c>
      <c r="T24" s="5"/>
      <c r="U24" s="5"/>
      <c r="V24" s="5"/>
      <c r="W24" s="5"/>
    </row>
    <row r="25" spans="2:23" x14ac:dyDescent="0.25">
      <c r="T25" s="5" t="s">
        <v>54</v>
      </c>
      <c r="U25" s="5"/>
      <c r="V25" s="5"/>
      <c r="W25" s="5"/>
    </row>
    <row r="26" spans="2:23" x14ac:dyDescent="0.25">
      <c r="B26" s="10" t="str">
        <f>IF(L3="Tongue &amp; Groove", "1/4 IN Spacer","3/16 IN Spacer")</f>
        <v>1/4 IN Spacer</v>
      </c>
      <c r="C26" s="3">
        <v>1</v>
      </c>
      <c r="T26" s="5">
        <f>ROUNDUP(IF($L$6="Perpendicular (To Home)",(($C$4*12)/(IF($M$6="16 IN",16,IF($M$6="24 IN",24,12)))),(($C$5*12)/(IF($M$6="16 IN",16,IF($M$6="24 IN",24,12))))),0)+1</f>
        <v>10</v>
      </c>
      <c r="U26" s="5"/>
      <c r="V26" s="5"/>
      <c r="W26" s="5"/>
    </row>
    <row r="27" spans="2:23" x14ac:dyDescent="0.25">
      <c r="B27" t="s">
        <v>110</v>
      </c>
      <c r="T27" s="5"/>
      <c r="U27" s="5"/>
      <c r="V27" s="5"/>
      <c r="W27" s="5"/>
    </row>
    <row r="28" spans="2:23" x14ac:dyDescent="0.25">
      <c r="B28" t="s">
        <v>111</v>
      </c>
      <c r="T28" s="5" t="s">
        <v>8</v>
      </c>
      <c r="U28" s="5"/>
      <c r="V28" s="5"/>
      <c r="W28" s="5"/>
    </row>
    <row r="29" spans="2:23" x14ac:dyDescent="0.25">
      <c r="B29" t="s">
        <v>112</v>
      </c>
      <c r="T29" s="5" t="s">
        <v>18</v>
      </c>
      <c r="U29" s="5"/>
      <c r="V29" s="5"/>
      <c r="W29" s="5"/>
    </row>
    <row r="30" spans="2:23" x14ac:dyDescent="0.25">
      <c r="T30" s="5" t="s">
        <v>57</v>
      </c>
      <c r="U30" s="5"/>
      <c r="V30" s="5"/>
      <c r="W30" s="5"/>
    </row>
    <row r="31" spans="2:23" x14ac:dyDescent="0.25">
      <c r="T31" s="5"/>
      <c r="U31" s="5"/>
      <c r="V31" s="5"/>
      <c r="W31" s="5"/>
    </row>
    <row r="32" spans="2:23" x14ac:dyDescent="0.25">
      <c r="T32" s="5" t="s">
        <v>59</v>
      </c>
      <c r="U32" s="5"/>
      <c r="V32" s="5"/>
      <c r="W32" s="5"/>
    </row>
    <row r="33" spans="20:23" x14ac:dyDescent="0.25">
      <c r="T33" s="5">
        <f>IF($L$6="Parallel (To Home)",IF($T$19&lt;=1,0,IF($T$19&lt;=2,1,IF($T$17=$T$19,$T$19-1,TRUNC($T$19)))),IF($T$19&lt;=1,0,IF($T$19&lt;=2,1,IF($T$17=$T$19,$T$19-1,TRUNC($T$19)))))</f>
        <v>2</v>
      </c>
      <c r="U33" s="5">
        <f>IF($L$6="Parallel (To Home)",IF($U$19&lt;=1,0,IF($U$19&lt;=2,1,IF($U$17=$U$19,$U$19-1,TRUNC($U$19)))),IF($U$19&lt;=1,0,IF($U$19&lt;=2,1,IF($U$17=$U$19,$U$19-1,TRUNC($U$19)))))</f>
        <v>0</v>
      </c>
      <c r="V33" s="5"/>
      <c r="W33" s="5"/>
    </row>
    <row r="34" spans="20:23" x14ac:dyDescent="0.25">
      <c r="T34" s="5" t="s">
        <v>62</v>
      </c>
      <c r="U34" s="5"/>
      <c r="V34" s="5"/>
      <c r="W34" s="5"/>
    </row>
    <row r="35" spans="20:23" x14ac:dyDescent="0.25">
      <c r="T35" s="5" cm="1">
        <f t="array" ref="T35">_xlfn.IFS(M6="16 IN",16,M6="12 IN",12,M6="24 IN",24)</f>
        <v>16</v>
      </c>
      <c r="U35" s="5"/>
      <c r="V35" s="5"/>
      <c r="W35" s="5"/>
    </row>
    <row r="36" spans="20:23" x14ac:dyDescent="0.25">
      <c r="T36" s="5" t="s">
        <v>63</v>
      </c>
      <c r="U36" s="5"/>
      <c r="V36" s="5"/>
      <c r="W36" s="5"/>
    </row>
    <row r="37" spans="20:23" x14ac:dyDescent="0.25">
      <c r="T37" s="5" t="s">
        <v>64</v>
      </c>
      <c r="U37" s="5">
        <f>IF($T$19&lt;=1,ROUNDUP(((($U$57*12)/$T$35)*$T$19),0)+1,(($U$57*12)/$T$35)+1)</f>
        <v>10</v>
      </c>
      <c r="V37" s="5">
        <f>IF($U$19&lt;=1,ROUNDUP(((($U$57*12)/$T$35)*$U$19),0)+1,(($U$57*12)/$T$35)+1)</f>
        <v>10</v>
      </c>
      <c r="W37" s="5"/>
    </row>
    <row r="38" spans="20:23" x14ac:dyDescent="0.25">
      <c r="T38" s="5" t="s">
        <v>65</v>
      </c>
      <c r="U38" s="5">
        <f>ROUNDUP(IF(AND($T$19&gt;1,$T$19&lt;2),IF($U$59=0,(($U$57*12)/$T$35)*($T$19-TRUNC($T$19)),(($U$59*12)/$T$35)*($T$23/$U$59)),IF($T$19&lt;1.0001,0,(($U$57*12)/$T$35))),0)</f>
        <v>9</v>
      </c>
      <c r="V38" s="5">
        <f>ROUNDUP(IF(AND($U$19&gt;1,$U$19&lt;2),IF($U$59=0,(($U$57*12)/$T$35)*($U$19-TRUNC($U$19)),(($U$59*12)/$T$35)*($U$23/$U$59)),IF($U$19&lt;1.0001,0,(($U$57*12)/$T$35))),0)</f>
        <v>0</v>
      </c>
      <c r="W38" s="5"/>
    </row>
    <row r="39" spans="20:23" x14ac:dyDescent="0.25">
      <c r="T39" s="5" t="s">
        <v>66</v>
      </c>
      <c r="U39" s="5">
        <f>ROUNDUP(IF(AND($T$19&gt;2,$T$19&lt;3),IF($U$59=0,(($U$57*12)/$T$35)*($T$19-TRUNC($T$19)),(($U$59*12)/$T$35)*($T$23/$U$59)),IF($T$19&lt;2.0001,0,(($U$57*12)/$T$35))),0)</f>
        <v>5</v>
      </c>
      <c r="V39" s="5">
        <f>ROUNDUP(IF(AND($U$19&gt;2,$U$19&lt;3),IF($U$59=0,(($U$57*12)/$T$35)*($U$19-TRUNC($U$19)),(($U$59*12)/$T$35)*($U$23/$U$59)),IF($U$19&lt;2.0001,0,(($U$57*12)/$T$35))),0)</f>
        <v>0</v>
      </c>
      <c r="W39" s="5"/>
    </row>
    <row r="40" spans="20:23" x14ac:dyDescent="0.25">
      <c r="T40" s="5" t="s">
        <v>67</v>
      </c>
      <c r="U40" s="5">
        <f>ROUNDUP(IF(AND($T$19&gt;3,$T$19&lt;4),IF($U$59=0,(($U$57*12)/$T$35)*($T$19-TRUNC($T$19)),(($U$59*12)/$T$35)*($T$23/$U$59)),IF($T$19&lt;3.0001,0,(($U$57*12)/$T$35))),0)</f>
        <v>0</v>
      </c>
      <c r="V40" s="5">
        <f>ROUNDUP(IF(AND($U$19&gt;3,$U$19&lt;4),IF($U$59=0,(($U$57*12)/$T$35)*($U$19-TRUNC($U$19)),(($U$59*12)/$T$35)*($U$23/$U$59)),IF($U$19&lt;3.0001,0,(($U$57*12)/$T$35))),0)</f>
        <v>0</v>
      </c>
      <c r="W40" s="5"/>
    </row>
    <row r="41" spans="20:23" x14ac:dyDescent="0.25">
      <c r="T41" s="5" t="s">
        <v>68</v>
      </c>
      <c r="U41" s="5">
        <f>ROUNDUP(IF(AND($T$19&gt;4,$T$19&lt;5),IF($U$59=0,(($U$57*12)/$T$35)*($T$19-TRUNC($T$19)),(($U$59*12)/$T$35)*($T$23/$U$59)),IF($T$19&lt;4.0001,0,(($U$57*12)/$T$35))),0)</f>
        <v>0</v>
      </c>
      <c r="V41" s="5">
        <f>ROUNDUP(IF(AND($U$19&gt;4,$U$19&lt;5),IF($U$59=0,(($U$57*12)/$T$35)*($U$19-TRUNC($U$19)),(($U$59*12)/$T$35)*($U$23/$U$59)),IF($U$19&lt;4.0001,0,(($U$57*12)/$T$35))),0)</f>
        <v>0</v>
      </c>
      <c r="W41" s="5"/>
    </row>
    <row r="42" spans="20:23" x14ac:dyDescent="0.25">
      <c r="T42" s="5" t="s">
        <v>69</v>
      </c>
      <c r="U42" s="5">
        <f>ROUNDUP(IF(AND($T$19&gt;5,$T$19&lt;6),IF($U$59=0,(($U$57*12)/$T$35)*($T$19-TRUNC($T$19)),(($U$59*12)/$T$35)*($T$23/$U$59)),IF($T$19&lt;5.0001,0,(($U$57*12)/$T$35))),0)</f>
        <v>0</v>
      </c>
      <c r="V42" s="5">
        <f>ROUNDUP(IF(AND($U$19&gt;5,$U$19&lt;6),IF($U$59=0,(($U$57*12)/$T$35)*($U$19-TRUNC($U$19)),(($U$59*12)/$T$35)*($U$23/$U$59)),IF($U$19&lt;5.0001,0,(($U$57*12)/$T$35))),0)</f>
        <v>0</v>
      </c>
      <c r="W42" s="5"/>
    </row>
    <row r="43" spans="20:23" x14ac:dyDescent="0.25">
      <c r="T43" s="5" t="s">
        <v>70</v>
      </c>
      <c r="U43" s="5">
        <f>ROUNDUP(IF(AND($T$19&gt;6,$T$19&lt;7),IF($U$59=0,(($U$57*12)/$T$35)*($T$19-TRUNC($T$19)),(($U$59*12)/$T$35)*($T$23/$U$59)),IF($T$19&lt;6.0001,0,(($U$57*12)/$T$35))),0)</f>
        <v>0</v>
      </c>
      <c r="V43" s="5">
        <f>ROUNDUP(IF(AND($U$19&gt;6,$U$19&lt;7),IF($U$59=0,(($U$57*12)/$T$35)*($U$19-TRUNC($U$19)),(($U$59*12)/$T$35)*($U$23/$U$59)),IF($U$19&lt;6.0001,0,(($U$57*12)/$T$35))),0)</f>
        <v>0</v>
      </c>
      <c r="W43" s="5"/>
    </row>
    <row r="44" spans="20:23" x14ac:dyDescent="0.25">
      <c r="T44" s="5"/>
      <c r="U44" s="5"/>
      <c r="V44" s="5"/>
      <c r="W44" s="5"/>
    </row>
    <row r="45" spans="20:23" x14ac:dyDescent="0.25">
      <c r="T45" s="5" t="s">
        <v>71</v>
      </c>
      <c r="U45" s="5"/>
      <c r="V45" s="5"/>
      <c r="W45" s="5"/>
    </row>
    <row r="46" spans="20:23" x14ac:dyDescent="0.25">
      <c r="T46" s="5" t="s">
        <v>72</v>
      </c>
      <c r="U46" s="5"/>
      <c r="V46" s="5"/>
      <c r="W46" s="5"/>
    </row>
    <row r="47" spans="20:23" x14ac:dyDescent="0.25">
      <c r="T47" s="5" t="s">
        <v>73</v>
      </c>
      <c r="U47" s="5"/>
      <c r="V47" s="5"/>
      <c r="W47" s="5"/>
    </row>
    <row r="48" spans="20:23" x14ac:dyDescent="0.25">
      <c r="T48" s="5" t="s">
        <v>13</v>
      </c>
      <c r="U48" s="5"/>
      <c r="V48" s="5"/>
      <c r="W48" s="5"/>
    </row>
    <row r="49" spans="20:23" x14ac:dyDescent="0.25">
      <c r="T49" s="5"/>
      <c r="U49" s="5"/>
      <c r="V49" s="5"/>
      <c r="W49" s="5"/>
    </row>
    <row r="50" spans="20:23" x14ac:dyDescent="0.25">
      <c r="T50" s="5" t="s">
        <v>74</v>
      </c>
      <c r="U50" s="5" t="s">
        <v>75</v>
      </c>
      <c r="V50" s="5" t="s">
        <v>76</v>
      </c>
      <c r="W50" s="5" t="s">
        <v>77</v>
      </c>
    </row>
    <row r="51" spans="20:23" x14ac:dyDescent="0.25">
      <c r="T51" s="5" t="s">
        <v>52</v>
      </c>
      <c r="U51" s="5" cm="1">
        <f t="array" ref="U51">IF($C$4&gt;=21,24,_xlfn.IFS($C$4&lt;=4,12,$C$4&lt;=5,12,$C$4&lt;=6,12,$C$4&lt;=7,16,$C$4&lt;=8,16,$C$4&lt;=9,20,$C$4&lt;=10,12,$C$4&lt;=11,12,$C$4&lt;=12,12,$C$4&lt;=16,16,$C$4&lt;=20,20))</f>
        <v>12</v>
      </c>
      <c r="V51" s="5">
        <f>ROUNDDOWN($U$51/$C$4,0)</f>
        <v>1</v>
      </c>
      <c r="W51" s="5">
        <f>ROUNDUP($U$58/$V$51,0)</f>
        <v>61</v>
      </c>
    </row>
    <row r="52" spans="20:23" x14ac:dyDescent="0.25">
      <c r="T52" s="5" t="s">
        <v>51</v>
      </c>
      <c r="U52" s="5" cm="1">
        <f t="array" ref="U52">IF($C$5&gt;=21,24,_xlfn.IFS($C$5&lt;=4,12,$C$5&lt;=5,12,$C$5&lt;=6,12,$C$5&lt;=7,16,$C$5&lt;=8,16,$C$5&lt;=9,20,$C$5&lt;=10,12,$C$5&lt;=11,12,$C$5&lt;=12,12,$C$5&lt;=16,16,$C$5&lt;=20,20))</f>
        <v>24</v>
      </c>
      <c r="V52" s="5">
        <f>ROUNDDOWN($U$52/$C$5,0)</f>
        <v>0</v>
      </c>
      <c r="W52" s="5" t="e">
        <f>ROUNDUP($U$58/$V$52,0)</f>
        <v>#DIV/0!</v>
      </c>
    </row>
    <row r="53" spans="20:23" x14ac:dyDescent="0.25">
      <c r="T53" s="5" t="s">
        <v>78</v>
      </c>
      <c r="U53" s="5"/>
      <c r="V53" s="5"/>
      <c r="W53" s="5"/>
    </row>
    <row r="54" spans="20:23" x14ac:dyDescent="0.25">
      <c r="T54" s="5" t="s">
        <v>52</v>
      </c>
      <c r="U54" s="5" cm="1">
        <f t="array" ref="U54">IF($U$23=0,0,IF($C$7&lt;=12,12,IF($C$7&lt;=16,_xlfn.IFS($U$23&lt;=4,16,$U$23&lt;=5,16,$U$23&lt;=6,12,$U$23&lt;=7,16,$U$23&lt;=8,16,$U$23&lt;=9,12,$U$23&lt;=10,12,$U$23&lt;=11,12,$U$23&lt;=12,12),IF($C$7&lt;=20,_xlfn.IFS($U$23&lt;=4,20,$U$23&lt;=5,20,$U$23&lt;=6,12,$U$23&lt;=7,16,$U$23&lt;=8,16,$U$23&lt;=9,20,$U$23&lt;=10,20,$U$23&lt;=11,12,$U$23&lt;=12,12),IF($C$7&lt;=24,_xlfn.IFS($U$23&lt;=4,24,$U$23&lt;=5,20,$U$23&lt;=6,24,$U$23&lt;=7,24,$U$23&lt;=8,24,$U$23&lt;=9,20,$U$23&lt;=10,20,$U$23&lt;=11,24,$U$23&lt;=12,24),0)))))</f>
        <v>0</v>
      </c>
      <c r="V54" s="5" t="e">
        <f>ROUNDDOWN($U$54/$U$23,0)</f>
        <v>#DIV/0!</v>
      </c>
      <c r="W54" s="5" t="e">
        <f>ROUNDUP($U$60/$V$54,0)</f>
        <v>#DIV/0!</v>
      </c>
    </row>
    <row r="55" spans="20:23" x14ac:dyDescent="0.25">
      <c r="T55" s="5" t="s">
        <v>51</v>
      </c>
      <c r="U55" s="5" cm="1">
        <f t="array" ref="U55">IF($T$23=0,0,IF($C$7&lt;=12,12,IF($C$7&lt;=16,_xlfn.IFS($T$23&lt;=4,16,$T$23&lt;=5,16,$T$23&lt;=6,12,$T$23&lt;=7,16,$T$23&lt;=8,16,$T$23&lt;=9,12,$T$23&lt;=10,12,$T$23&lt;=11,12,$T$23&lt;=12,12),IF($C$7&lt;=20,_xlfn.IFS($T$23&lt;=4,20,$T$23&lt;=5,20,$T$23&lt;=6,12,$T$23&lt;=7,16,$T$23&lt;=8,16,$T$23&lt;=9,20,$T$23&lt;=10,20,$T$23&lt;=11,12,$T$23&lt;=12,12),IF($C$7&lt;=24,_xlfn.IFS($T$23&lt;=4,24,$T$23&lt;=5,20,$T$23&lt;=6,24,$T$23&lt;=7,24,$T$23&lt;=8,24,$T$23&lt;=9,20,$T$23&lt;=10,20,$T$23&lt;=11,24,$T$23&lt;=12,24),0)))))</f>
        <v>12</v>
      </c>
      <c r="V55" s="5">
        <f>ROUNDDOWN($U$55/$T$23,0)</f>
        <v>2</v>
      </c>
      <c r="W55" s="5">
        <f>ROUNDUP($U$60/$V$55,0)</f>
        <v>0</v>
      </c>
    </row>
    <row r="56" spans="20:23" x14ac:dyDescent="0.25">
      <c r="T56" s="5"/>
      <c r="U56" s="5"/>
      <c r="V56" s="5"/>
      <c r="W56" s="5"/>
    </row>
    <row r="57" spans="20:23" x14ac:dyDescent="0.25">
      <c r="T57" s="5" t="s">
        <v>79</v>
      </c>
      <c r="U57" s="5" cm="1">
        <f t="array" ref="U57">IF($L$6="Parallel (To Home)",IF($C$5&gt;=21,24,_xlfn.IFS($C$5&lt;=12,12,$C$5&lt;=16,16,$C$5&lt;=20,20)),IF($C$4&gt;=21,24,_xlfn.IFS($C$4&lt;=12,12,$C$4&lt;=16,16,$C$4&lt;=20,20)))</f>
        <v>12</v>
      </c>
      <c r="V57" s="5"/>
      <c r="W57" s="5"/>
    </row>
    <row r="58" spans="20:23" x14ac:dyDescent="0.25">
      <c r="T58" s="5" t="s">
        <v>80</v>
      </c>
      <c r="U58" s="5">
        <f>IF($L$6="Parallel (To Home)",(IF($L$3="Tongue &amp; Groove",ROUNDUP(($C$4*12)/5.9375,0),ROUNDUP(($C$4*12)/5.3125,0)))*IF(U59=0,$T$17,IF($T$17=1,1,$T$17-1)),(IF($L$3="Tongue &amp; Groove",ROUNDUP(($C$5*12)/5.9375,0),ROUNDUP(($C$5*12)/5.3125,0))*IF(U59=0,$U$17,IF($U$17=1,1,$U$17-1))))</f>
        <v>61</v>
      </c>
      <c r="V58" s="5"/>
      <c r="W58" s="5"/>
    </row>
    <row r="59" spans="20:23" x14ac:dyDescent="0.25">
      <c r="T59" s="5" t="s">
        <v>81</v>
      </c>
      <c r="U59" s="5" cm="1">
        <f t="array" ref="U59">IF($L$6="Parallel (To Home)",_xlfn.IFS($T$23=0,0,$T$23&lt;=12,12,$T$23&lt;=16,16,$T$23&lt;=20,0,$T$23&gt;20,0),_xlfn.IFS($U$23=0,0,$U$23&lt;=12,12,$U$23&lt;=16,16,$U$23&lt;=20,20,$U$23&gt;20,0))</f>
        <v>0</v>
      </c>
      <c r="V59" s="5"/>
      <c r="W59" s="5"/>
    </row>
    <row r="60" spans="20:23" x14ac:dyDescent="0.25">
      <c r="T60" s="5" t="s">
        <v>82</v>
      </c>
      <c r="U60" s="5">
        <f>IF($U$59&lt;&gt;0,IF($L$6="Parallel (To Home)",IF($L$3="Tongue &amp; Groove",ROUNDUP(($C$4*12)/5.9375,0),ROUNDUP(($C$4*12)/5.3125,0)),IF($L$3="Tongue &amp; Groove",ROUNDUP(($C$5*12)/5.9375,0),ROUNDUP(($C$5*12)/5.3125,0))),0)</f>
        <v>0</v>
      </c>
      <c r="V60" s="5"/>
      <c r="W60" s="5"/>
    </row>
    <row r="61" spans="20:23" x14ac:dyDescent="0.25">
      <c r="T61" s="5"/>
      <c r="U61" s="5"/>
      <c r="V61" s="5"/>
      <c r="W61" s="5"/>
    </row>
    <row r="62" spans="20:23" x14ac:dyDescent="0.25">
      <c r="T62" s="5" t="s">
        <v>113</v>
      </c>
      <c r="U62" s="5"/>
      <c r="V62" s="5"/>
      <c r="W62" s="5"/>
    </row>
    <row r="63" spans="20:23" x14ac:dyDescent="0.25">
      <c r="T63" s="5" t="s">
        <v>97</v>
      </c>
      <c r="U63" s="5"/>
      <c r="V63" s="5"/>
      <c r="W63" s="5"/>
    </row>
    <row r="64" spans="20:23" x14ac:dyDescent="0.25">
      <c r="T64" s="5"/>
      <c r="U64" s="5"/>
      <c r="V64" s="5"/>
      <c r="W64" s="5"/>
    </row>
    <row r="65" spans="20:23" x14ac:dyDescent="0.25">
      <c r="T65" s="5" t="s">
        <v>84</v>
      </c>
      <c r="U65" s="5" t="s">
        <v>85</v>
      </c>
      <c r="V65" s="5" t="s">
        <v>86</v>
      </c>
      <c r="W65" s="5" t="s">
        <v>87</v>
      </c>
    </row>
    <row r="66" spans="20:23" x14ac:dyDescent="0.25">
      <c r="T66" s="5">
        <f>IF(($C$13+$C$21+$C$18)&gt;300,1,0)</f>
        <v>1</v>
      </c>
      <c r="U66" s="5">
        <f>IF(($C$13+$C$21+$C$18)&lt;=75,1,IF(($C$13+$C$21+$C$18)&lt;=150,2,IF(($C$13+$C$21+$C$18)&lt;=225,2,IF(($C$13+$C$21+$C$18)&lt;=300,4,0))))</f>
        <v>0</v>
      </c>
      <c r="V66" s="5">
        <f>SUM(T66:T85)</f>
        <v>1</v>
      </c>
      <c r="W66" s="5">
        <f>SUM(U66:U85)</f>
        <v>1</v>
      </c>
    </row>
    <row r="67" spans="20:23" x14ac:dyDescent="0.25">
      <c r="T67" s="5">
        <f>IF(($C$13+$C$21+$C$18)&gt;700,1,0)</f>
        <v>0</v>
      </c>
      <c r="U67" s="5">
        <f>IF(($C$13+$C$21+$C$18)&gt;350,IF(($C$13+$C$21+$C$18)&lt;425,1,IF(($C$13+$C$21+$C$18)&lt;=500,2,IF(($C$13+$C$21+$C$18)&lt;=575,3,IF(($C$13+$C$21+$C$18)&lt;=650,4,0)))),0)</f>
        <v>1</v>
      </c>
      <c r="V67" s="5"/>
      <c r="W67" s="5"/>
    </row>
    <row r="68" spans="20:23" x14ac:dyDescent="0.25">
      <c r="T68" s="5">
        <f>IF(($C$13+$C$21+$C$18)&gt;1050,1,0)</f>
        <v>0</v>
      </c>
      <c r="U68" s="5">
        <f>IF(($C$13+$C$21+$C$18)&gt;700,IF(($C$13+$C$21+$C$18)&lt;=775,1,IF(($C$13+$C$21+$C$18)&lt;=850,2,IF(($C$13+$C$21+$C$18)&lt;=925,3,IF(($C$13+$C$21+$C$18)&lt;=1000,4,0)))),0)</f>
        <v>0</v>
      </c>
      <c r="V68" s="5"/>
      <c r="W68" s="5"/>
    </row>
    <row r="69" spans="20:23" x14ac:dyDescent="0.25">
      <c r="T69" s="5">
        <f>IF(($C$13+$C$21+$C$18)&gt;1400,1,0)</f>
        <v>0</v>
      </c>
      <c r="U69" s="5">
        <f>IF(($C$13+$C$21+$C$18)&gt;1050,IF(($C$13+$C$21+$C$18)&lt;=1125,1,IF(($C$13+$C$21+$C$18)&lt;=1200,2,IF(($C$13+$C$21+$C$18)&lt;=1275,3,IF(($C$13+$C$21+$C$18)&lt;=1350,4,0)))),0)</f>
        <v>0</v>
      </c>
      <c r="V69" s="5"/>
      <c r="W69" s="5"/>
    </row>
    <row r="70" spans="20:23" x14ac:dyDescent="0.25">
      <c r="T70" s="5">
        <f>IF(($C$13+$C$21+$C$18)&gt;1750,1,0)</f>
        <v>0</v>
      </c>
      <c r="U70" s="5">
        <f>IF(($C$13+$C$21+$C$18)&gt;1400,IF(($C$13+$C$21+$C$18)&lt;=1475,1,IF(($C$13+$C$21+$C$18)&lt;=1550,2,IF(($C$13+$C$21+$C$18)&lt;=1625,3,IF(($C$13+$C$21+$C$18)&lt;=1700,4,0)))),0)</f>
        <v>0</v>
      </c>
      <c r="V70" s="5"/>
      <c r="W70" s="5"/>
    </row>
    <row r="71" spans="20:23" x14ac:dyDescent="0.25">
      <c r="T71" s="5">
        <f>IF(($C$13+$C$21+$C$18)&gt;2100,1,0)</f>
        <v>0</v>
      </c>
      <c r="U71" s="5">
        <f>IF(($C$13+$C$21+$C$18)&gt;1750,IF(($C$13+$C$21+$C$18)&lt;=1825,1,IF(($C$13+$C$21+$C$18)&lt;=1900,2,IF(($C$13+$C$21+$C$18)&lt;=1975,3,IF(($C$13+$C$21+$C$18)&lt;=2050,4,0)))),0)</f>
        <v>0</v>
      </c>
      <c r="V71" s="5"/>
      <c r="W71" s="5"/>
    </row>
    <row r="72" spans="20:23" x14ac:dyDescent="0.25">
      <c r="T72" s="5">
        <f>IF(($C$13+$C$21+$C$18)&gt;2450,1,0)</f>
        <v>0</v>
      </c>
      <c r="U72" s="5">
        <f>IF(($C$13+$C$21+$C$18)&gt;2100,IF(($C$13+$C$21+$C$18)&lt;=2175,1,IF(($C$13+$C$21+$C$18)&lt;=2250,2,IF(($C$13+$C$21+$C$18)&lt;=2325,3,IF(($C$13+$C$21+$C$18)&lt;=2400,4,0)))),0)</f>
        <v>0</v>
      </c>
      <c r="V72" s="5"/>
      <c r="W72" s="5"/>
    </row>
    <row r="73" spans="20:23" x14ac:dyDescent="0.25">
      <c r="T73" s="5">
        <f>IF(($C$13+$C$21+$C$18)&gt;2800,1,0)</f>
        <v>0</v>
      </c>
      <c r="U73" s="5">
        <f>IF(($C$13+$C$21+$C$18)&gt;2450,IF(($C$13+$C$21+$C$18)&lt;=2525,1,IF(($C$13+$C$21+$C$18)&lt;=2600,2,IF(($C$13+$C$21+$C$18)&lt;=2675,3,IF(($C$13+$C$21+$C$18)&lt;=2750,4,0)))),0)</f>
        <v>0</v>
      </c>
      <c r="V73" s="5"/>
      <c r="W73" s="5"/>
    </row>
    <row r="74" spans="20:23" x14ac:dyDescent="0.25">
      <c r="T74" s="5">
        <f>IF(($C$13+$C$21+$C$18)&gt;3150,1,0)</f>
        <v>0</v>
      </c>
      <c r="U74" s="5">
        <f>IF(($C$13+$C$21+$C$18)&gt;2800,IF(($C$13+$C$21+$C$18)&lt;=2875,1,IF(($C$13+$C$21+$C$18)&lt;=2950,2,IF(($C$13+$C$21+$C$18)&lt;=3025,3,IF(($C$13+$C$21+$C$18)&lt;=3100,4,0)))),0)</f>
        <v>0</v>
      </c>
      <c r="V74" s="5"/>
      <c r="W74" s="5"/>
    </row>
    <row r="75" spans="20:23" x14ac:dyDescent="0.25">
      <c r="T75" s="5">
        <f>IF(($C$13+$C$21+$C$18)&gt;3500,1,0)</f>
        <v>0</v>
      </c>
      <c r="U75" s="5">
        <f>IF(($C$13+$C$21+$C$18)&gt;3150,IF(($C$13+$C$21+$C$18)&lt;=3225,1,IF(($C$13+$C$21+$C$18)&lt;=3300,2,IF(($C$13+$C$21+$C$18)&lt;=3375,3,IF(($C$13+$C$21+$C$18)&lt;=3450,4,0)))),0)</f>
        <v>0</v>
      </c>
      <c r="V75" s="5"/>
      <c r="W75" s="5"/>
    </row>
    <row r="76" spans="20:23" x14ac:dyDescent="0.25">
      <c r="T76" s="5">
        <f>IF(($C$13+$C$21+$C$18)&gt;3850,1,0)</f>
        <v>0</v>
      </c>
      <c r="U76" s="5">
        <f>IF(($C$13+$C$21+$C$18)&gt;3500,IF(($C$13+$C$21+$C$18)&lt;=3575,1,IF(($C$13+$C$21+$C$18)&lt;=3650,2,IF(($C$13+$C$21+$C$18)&lt;=3725,3,IF(($C$13+$C$21+$C$18)&lt;=3800,4,0)))),0)</f>
        <v>0</v>
      </c>
      <c r="V76" s="5"/>
      <c r="W76" s="5"/>
    </row>
    <row r="77" spans="20:23" x14ac:dyDescent="0.25">
      <c r="T77" s="5">
        <f>IF(($C$13+$C$21+$C$18)&gt;4200,1,0)</f>
        <v>0</v>
      </c>
      <c r="U77" s="5">
        <f>IF(($C$13+$C$21+$C$18)&gt;3850,IF(($C$13+$C$21+$C$18)&lt;=3925,1,IF(($C$13+$C$21+$C$18)&lt;=4000,2,IF(($C$13+$C$21+$C$18)&lt;=4075,3,IF(($C$13+$C$21+$C$18)&lt;=4150,4,0)))),0)</f>
        <v>0</v>
      </c>
      <c r="V77" s="5"/>
      <c r="W77" s="5"/>
    </row>
    <row r="78" spans="20:23" x14ac:dyDescent="0.25">
      <c r="T78" s="5">
        <f>IF(($C$13+$C$21+$C$18)&gt;4550,1,0)</f>
        <v>0</v>
      </c>
      <c r="U78" s="5">
        <f>IF(($C$13+$C$21+$C$18)&gt;4200,IF(($C$13+$C$21+$C$18)&lt;=4275,1,IF(($C$13+$C$21+$C$18)&lt;=4350,2,IF(($C$13+$C$21+$C$18)&lt;=4425,3,IF(($C$13+$C$21+$C$18)&lt;=4500,4,0)))),0)</f>
        <v>0</v>
      </c>
      <c r="V78" s="5"/>
      <c r="W78" s="5"/>
    </row>
    <row r="79" spans="20:23" x14ac:dyDescent="0.25">
      <c r="T79" s="5">
        <f>IF(($C$13+$C$21+$C$18)&gt;4900,1,0)</f>
        <v>0</v>
      </c>
      <c r="U79" s="5">
        <f>IF(($C$13+$C$21+$C$18)&gt;4550,IF(($C$13+$C$21+$C$18)&lt;=4625,1,IF(($C$13+$C$21+$C$18)&lt;=4700,2,IF(($C$13+$C$21+$C$18)&lt;=4775,3,IF(($C$13+$C$21+$C$18)&lt;=4850,4,0)))),0)</f>
        <v>0</v>
      </c>
      <c r="V79" s="5"/>
      <c r="W79" s="5"/>
    </row>
    <row r="80" spans="20:23" x14ac:dyDescent="0.25">
      <c r="T80" s="5">
        <f>IF(($C$13+$C$21+$C$18)&gt;5250,1,0)</f>
        <v>0</v>
      </c>
      <c r="U80" s="5">
        <f>IF(($C$13+$C$21+$C$18)&gt;4900,IF(($C$13+$C$21+$C$18)&lt;=4975,1,IF(($C$13+$C$21+$C$18)&lt;=5050,2,IF(($C$13+$C$21+$C$18)&lt;=5125,3,IF(($C$13+$C$21+$C$18)&lt;=5200,4,0)))),0)</f>
        <v>0</v>
      </c>
      <c r="V80" s="5"/>
      <c r="W80" s="5"/>
    </row>
    <row r="81" spans="20:23" x14ac:dyDescent="0.25">
      <c r="T81" s="5">
        <f>IF(($C$13+$C$21+$C$18)&gt;5600,1,0)</f>
        <v>0</v>
      </c>
      <c r="U81" s="5">
        <f>IF(($C$13+$C$21+$C$18)&gt;5250,IF(($C$13+$C$21+$C$18)&lt;=5325,1,IF(($C$13+$C$21+$C$18)&lt;=5400,2,IF(($C$13+$C$21+$C$18)&lt;=5475,3,IF(($C$13+$C$21+$C$18)&lt;=5550,4,0)))),0)</f>
        <v>0</v>
      </c>
      <c r="V81" s="5"/>
      <c r="W81" s="5"/>
    </row>
    <row r="82" spans="20:23" x14ac:dyDescent="0.25">
      <c r="T82" s="5">
        <f>IF(($C$13+$C$21+$C$18)&gt;5950,1,0)</f>
        <v>0</v>
      </c>
      <c r="U82" s="5">
        <f>IF(($C$13+$C$21+$C$18)&gt;5600,IF(($C$13+$C$21+$C$18)&lt;=5675,1,IF(($C$13+$C$21+$C$18)&lt;=5750,2,IF(($C$13+$C$21+$C$18)&lt;=5825,3,IF(($C$13+$C$21+$C$18)&lt;=5900,4,0)))),0)</f>
        <v>0</v>
      </c>
      <c r="V82" s="5"/>
      <c r="W82" s="5"/>
    </row>
    <row r="83" spans="20:23" x14ac:dyDescent="0.25">
      <c r="T83" s="5">
        <f>IF(($C$13+$C$21+$C$18)&gt;6300,1,0)</f>
        <v>0</v>
      </c>
      <c r="U83" s="5">
        <f>IF(($C$13+$C$21+$C$18)&gt;5950,IF(($C$13+$C$21+$C$18)&lt;=6025,1,IF(($C$13+$C$21+$C$18)&lt;=6100,2,IF(($C$13+$C$21+$C$18)&lt;=6175,3,IF(($C$13+$C$21+$C$18)&lt;=6250,4,0)))),0)</f>
        <v>0</v>
      </c>
      <c r="V83" s="5"/>
      <c r="W83" s="5"/>
    </row>
    <row r="84" spans="20:23" x14ac:dyDescent="0.25">
      <c r="T84" s="5">
        <f>IF(($C$13+$C$21+$C$18)&gt;6650,1,0)</f>
        <v>0</v>
      </c>
      <c r="U84" s="5">
        <f>IF(($C$13+$C$21+$C$18)&gt;6300,IF(($C$13+$C$21+$C$18)&lt;=6375,1,IF(($C$13+$C$21+$C$18)&lt;=6450,2,IF(($C$13+$C$21+$C$18)&lt;=6525,3,IF(($C$13+$C$21+$C$18)&lt;=6600,4,0)))),0)</f>
        <v>0</v>
      </c>
      <c r="V84" s="5"/>
      <c r="W84" s="5"/>
    </row>
    <row r="85" spans="20:23" x14ac:dyDescent="0.25">
      <c r="T85" s="5">
        <f>IF(($C$13+$C$21+$C$18)&gt;7000,1,0)</f>
        <v>0</v>
      </c>
      <c r="U85" s="5">
        <f>IF(($C$13+$C$21+$C$18)&gt;6650,IF(($C$13+$C$21+$C$18)&lt;=6725,1,IF(($C$13+$C$21+$C$18)&lt;=6800,2,IF(($C$13+$C$21+$C$18)&lt;=6875,3,IF(($C$13+$C$21+$C$18)&lt;=6950,4,0)))),0)</f>
        <v>0</v>
      </c>
      <c r="V85" s="5"/>
      <c r="W85" s="5"/>
    </row>
    <row r="86" spans="20:23" x14ac:dyDescent="0.25">
      <c r="T86" s="5" t="s">
        <v>88</v>
      </c>
      <c r="U86" s="5" t="s">
        <v>89</v>
      </c>
      <c r="V86" s="5" t="s">
        <v>90</v>
      </c>
      <c r="W86" s="5" t="s">
        <v>91</v>
      </c>
    </row>
    <row r="87" spans="20:23" x14ac:dyDescent="0.25">
      <c r="T87" s="5">
        <f>IF($C$24&gt;740,1,0)</f>
        <v>0</v>
      </c>
      <c r="U87" s="5">
        <f>IF($C$24&lt;=185,1,IF($C$24&lt;=370,2,IF($C$24&lt;=555,2,IF($C$24&lt;=740,4,0))))</f>
        <v>1</v>
      </c>
      <c r="V87" s="5">
        <f>SUM(T87:T93)</f>
        <v>0</v>
      </c>
      <c r="W87" s="5">
        <f>SUM(U87:U93)</f>
        <v>1</v>
      </c>
    </row>
    <row r="88" spans="20:23" x14ac:dyDescent="0.25">
      <c r="T88" s="5">
        <f>IF($C$24&gt;1640,1,0)</f>
        <v>0</v>
      </c>
      <c r="U88" s="5">
        <f>IF($C$24&gt;900,IF($C$24&lt;1085,1,IF($C$24&lt;=1270,2,IF($C$24&lt;=1455,3,IF($C$24&lt;=1640,4,0)))),0)</f>
        <v>0</v>
      </c>
      <c r="V88" s="5"/>
      <c r="W88" s="5"/>
    </row>
    <row r="89" spans="20:23" x14ac:dyDescent="0.25">
      <c r="T89" s="5">
        <f>IF($C$24&gt;2540,1,0)</f>
        <v>0</v>
      </c>
      <c r="U89" s="5">
        <f>IF($C$24&gt;1800,IF($C$24&lt;=1985,1,IF($C$24&lt;=2170,2,IF($C$24&lt;=2355,3,IF($C$24&lt;=2540,4,0)))),0)</f>
        <v>0</v>
      </c>
      <c r="V89" s="5"/>
      <c r="W89" s="5"/>
    </row>
    <row r="90" spans="20:23" x14ac:dyDescent="0.25">
      <c r="T90" s="5">
        <f>IF($C$24&gt;3440,1,0)</f>
        <v>0</v>
      </c>
      <c r="U90" s="5">
        <f>IF($C$24&gt;2700,IF($C$24&lt;=2885,1,IF($C$24&lt;=3070,2,IF($C$24&lt;=3255,3,IF($C$24&lt;=3440,4,0)))),0)</f>
        <v>0</v>
      </c>
      <c r="V90" s="5"/>
      <c r="W90" s="5"/>
    </row>
    <row r="91" spans="20:23" x14ac:dyDescent="0.25">
      <c r="T91" s="5">
        <f>IF($C$24&gt;4340,1,0)</f>
        <v>0</v>
      </c>
      <c r="U91" s="5">
        <f>IF($C$24&gt;3600,IF($C$24&lt;=3785,1,IF($C$24&lt;=3970,2,IF($C$24&lt;=4155,3,IF($C$24&lt;=4340,4,0)))),0)</f>
        <v>0</v>
      </c>
      <c r="V91" s="5"/>
      <c r="W91" s="5"/>
    </row>
    <row r="92" spans="20:23" x14ac:dyDescent="0.25">
      <c r="T92" s="5">
        <f>IF($C$24&gt;5240,1,0)</f>
        <v>0</v>
      </c>
      <c r="U92" s="5">
        <f>IF($C$24&gt;4500,IF($C$24&lt;=4685,1,IF($C$24&lt;=4870,2,IF($C$24&lt;=5055,3,IF($C$24&lt;=5240,4,0)))),0)</f>
        <v>0</v>
      </c>
      <c r="V92" s="5"/>
      <c r="W92" s="5"/>
    </row>
    <row r="93" spans="20:23" x14ac:dyDescent="0.25">
      <c r="T93" s="5">
        <f>IF($C$24&gt;6140,1,0)</f>
        <v>0</v>
      </c>
      <c r="U93" s="5">
        <f>IF($C$24&gt;5400,IF($C$24&lt;=5585,1,IF($C$24&lt;=5770,2,IF($C$24&lt;=5955,3,IF($C$24&lt;=6140,4,0)))),0)</f>
        <v>0</v>
      </c>
      <c r="V93" s="5"/>
      <c r="W93" s="5"/>
    </row>
    <row r="94" spans="20:23" x14ac:dyDescent="0.25">
      <c r="T94" s="5"/>
      <c r="U94" s="5"/>
      <c r="V94" s="5"/>
      <c r="W94" s="5"/>
    </row>
    <row r="95" spans="20:23" x14ac:dyDescent="0.25">
      <c r="T95" s="5" t="s">
        <v>114</v>
      </c>
      <c r="U95" s="5" t="s">
        <v>115</v>
      </c>
      <c r="V95" s="5" t="s">
        <v>116</v>
      </c>
      <c r="W95" s="5"/>
    </row>
    <row r="96" spans="20:23" x14ac:dyDescent="0.25">
      <c r="T96" s="5">
        <f>IF($C$14&gt;810,1,0)</f>
        <v>0</v>
      </c>
      <c r="U96" s="5">
        <f>IF($C$14&gt;360,IF($C$14&lt;=450,1,0),0)</f>
        <v>0</v>
      </c>
      <c r="V96" s="5" cm="1">
        <f t="array" ref="V96">IF($C$14=0,0,IF($C$14&lt;=450,_xlfn.IFS($C$14&lt;=90,1,$C$14&lt;=180,2,$C$14&lt;=270,3,$C$14&lt;=360,4,$C$14&gt;360,0),IF($C$14&lt;=900,_xlfn.IFS($C$14&lt;=540,1,$C$14&lt;=630,2,$C$14&lt;=720,3,$C$14&lt;=810,4,$C$14&gt;810,0),0)))</f>
        <v>3</v>
      </c>
      <c r="W96" s="5"/>
    </row>
    <row r="97" spans="20:23" x14ac:dyDescent="0.25">
      <c r="T97" s="5">
        <f>IF($C$14&gt;1710,1,0)</f>
        <v>0</v>
      </c>
      <c r="U97" s="5">
        <f>IF($C$14&gt;1260,IF($C$14&lt;=1350,1,0),0)</f>
        <v>0</v>
      </c>
      <c r="V97" s="5" cm="1">
        <f t="array" ref="V97">IF($C$14=0,0,IF($C$14&lt;=1350,_xlfn.IFS($C$14&lt;=990,1,$C$14&lt;=1080,2,$C$14&lt;=1170,3,$C$14&lt;=1260,4,$C$14&gt;1260,0),IF($C$14&lt;=1800,_xlfn.IFS($C$14&lt;=1440,1,$C$14&lt;=1530,2,$C$14&lt;=1620,3,$C$14&lt;=1710,4,$C$14&gt;1710,0),0)))</f>
        <v>1</v>
      </c>
      <c r="W97" s="5"/>
    </row>
    <row r="98" spans="20:23" x14ac:dyDescent="0.25">
      <c r="T98" s="5" t="s">
        <v>117</v>
      </c>
      <c r="U98" s="5" t="s">
        <v>118</v>
      </c>
      <c r="V98" s="5" t="s">
        <v>119</v>
      </c>
      <c r="W98" s="5"/>
    </row>
    <row r="99" spans="20:23" x14ac:dyDescent="0.25">
      <c r="T99" s="5">
        <f>SUM(T96:T97)</f>
        <v>0</v>
      </c>
      <c r="U99" s="5">
        <f>SUM(U96:U97)</f>
        <v>0</v>
      </c>
      <c r="V99" s="5">
        <f>SUM(V96:V97)</f>
        <v>4</v>
      </c>
      <c r="W99" s="5"/>
    </row>
    <row r="100" spans="20:23" x14ac:dyDescent="0.25">
      <c r="T100" s="5"/>
      <c r="U100" s="5"/>
      <c r="V100" s="5"/>
      <c r="W100" s="5"/>
    </row>
  </sheetData>
  <sheetProtection sheet="1" objects="1" scenarios="1"/>
  <mergeCells count="4">
    <mergeCell ref="B12:C12"/>
    <mergeCell ref="B16:C16"/>
    <mergeCell ref="G12:H12"/>
    <mergeCell ref="A1:XFD1"/>
  </mergeCells>
  <dataValidations count="9">
    <dataValidation type="list" allowBlank="1" showInputMessage="1" showErrorMessage="1" sqref="L6" xr:uid="{76BD61BF-01A1-42BC-B4C9-D8E1886540E0}">
      <formula1>$T$12:$T$13</formula1>
    </dataValidation>
    <dataValidation type="list" allowBlank="1" showInputMessage="1" showErrorMessage="1" sqref="N3" xr:uid="{20EFAAAC-1B28-4A58-979B-779CC2A1B596}">
      <formula1>$T$29:$T$30</formula1>
    </dataValidation>
    <dataValidation type="list" allowBlank="1" showInputMessage="1" showErrorMessage="1" sqref="L3" xr:uid="{E28F7EF3-3806-4E78-9509-170AA34DB56D}">
      <formula1>$T$3:$T$4</formula1>
    </dataValidation>
    <dataValidation type="list" allowBlank="1" showInputMessage="1" showErrorMessage="1" sqref="M6" xr:uid="{D091B96B-7DBF-482A-A77D-ADB1CB594416}">
      <formula1>$T$7:$T$9</formula1>
    </dataValidation>
    <dataValidation type="list" allowBlank="1" showInputMessage="1" showErrorMessage="1" sqref="J3" xr:uid="{5120ACCB-2717-4C74-8AD7-3B6DFD5A084B}">
      <formula1>$T$46:$T$48</formula1>
    </dataValidation>
    <dataValidation type="list" allowBlank="1" showInputMessage="1" showErrorMessage="1" sqref="M3" xr:uid="{2D3BC004-FA74-4DD8-9EDB-A43A905BCA3E}">
      <formula1>$T$63</formula1>
    </dataValidation>
    <dataValidation type="list" allowBlank="1" showInputMessage="1" showErrorMessage="1" sqref="K3" xr:uid="{85D2D76C-9BD1-40A1-A91F-03CAE6B733F8}">
      <formula1>$U$3:$U$5</formula1>
    </dataValidation>
    <dataValidation type="list" allowBlank="1" showInputMessage="1" showErrorMessage="1" sqref="J6" xr:uid="{8B9039BD-D158-40FC-A645-B29A6C769AF2}">
      <formula1>$U$8:$U$9</formula1>
    </dataValidation>
    <dataValidation type="list" allowBlank="1" showInputMessage="1" showErrorMessage="1" sqref="K6" xr:uid="{45E6D1D4-323D-480C-A897-8F5E8B49D02D}">
      <formula1>$U$12:$U$13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020FDD-C105-48DA-B029-52F4639394C3}">
  <dimension ref="B1:W100"/>
  <sheetViews>
    <sheetView zoomScale="80" zoomScaleNormal="80" workbookViewId="0">
      <selection activeCell="B49" sqref="B49"/>
    </sheetView>
  </sheetViews>
  <sheetFormatPr defaultColWidth="8.85546875" defaultRowHeight="15" x14ac:dyDescent="0.25"/>
  <cols>
    <col min="2" max="2" width="60.7109375" customWidth="1"/>
    <col min="3" max="3" width="18.7109375" customWidth="1"/>
    <col min="4" max="4" width="8.7109375" customWidth="1"/>
    <col min="5" max="5" width="25.7109375" customWidth="1"/>
    <col min="6" max="6" width="8.7109375" customWidth="1"/>
    <col min="7" max="7" width="31.7109375" customWidth="1"/>
    <col min="8" max="8" width="13.7109375" customWidth="1"/>
    <col min="10" max="11" width="26.7109375" bestFit="1" customWidth="1"/>
    <col min="12" max="12" width="23.42578125" bestFit="1" customWidth="1"/>
    <col min="13" max="13" width="16.28515625" bestFit="1" customWidth="1"/>
    <col min="14" max="14" width="15.7109375" customWidth="1"/>
    <col min="15" max="15" width="19.28515625" bestFit="1" customWidth="1"/>
    <col min="16" max="16" width="22.42578125" bestFit="1" customWidth="1"/>
    <col min="17" max="17" width="12.5703125" bestFit="1" customWidth="1"/>
    <col min="18" max="18" width="15.85546875" bestFit="1" customWidth="1"/>
    <col min="20" max="20" width="38.85546875" hidden="1" customWidth="1"/>
    <col min="21" max="21" width="20.85546875" hidden="1" customWidth="1"/>
    <col min="22" max="22" width="18.7109375" hidden="1" customWidth="1"/>
    <col min="23" max="23" width="24.140625" hidden="1" customWidth="1"/>
  </cols>
  <sheetData>
    <row r="1" spans="2:23" s="21" customFormat="1" ht="219.95" customHeight="1" x14ac:dyDescent="0.25"/>
    <row r="2" spans="2:23" x14ac:dyDescent="0.25">
      <c r="B2" s="6" t="s">
        <v>0</v>
      </c>
      <c r="G2" s="6" t="s">
        <v>1</v>
      </c>
      <c r="J2" s="7" t="s">
        <v>2</v>
      </c>
      <c r="K2" s="7" t="s">
        <v>3</v>
      </c>
      <c r="L2" s="7" t="s">
        <v>92</v>
      </c>
      <c r="M2" s="7" t="s">
        <v>4</v>
      </c>
      <c r="N2" s="7" t="s">
        <v>8</v>
      </c>
      <c r="T2" s="5" t="s">
        <v>95</v>
      </c>
      <c r="U2" s="5" t="s">
        <v>10</v>
      </c>
      <c r="V2" s="5"/>
      <c r="W2" s="5"/>
    </row>
    <row r="3" spans="2:23" x14ac:dyDescent="0.25">
      <c r="C3" s="8" t="s">
        <v>11</v>
      </c>
      <c r="E3" s="9" t="s">
        <v>12</v>
      </c>
      <c r="H3" s="8" t="s">
        <v>11</v>
      </c>
      <c r="J3" s="2" t="s">
        <v>72</v>
      </c>
      <c r="K3" s="2" t="s">
        <v>15</v>
      </c>
      <c r="L3" s="2" t="s">
        <v>96</v>
      </c>
      <c r="M3" s="2" t="s">
        <v>97</v>
      </c>
      <c r="N3" s="2" t="s">
        <v>18</v>
      </c>
      <c r="T3" s="5" t="s">
        <v>96</v>
      </c>
      <c r="U3" s="5" t="s">
        <v>14</v>
      </c>
      <c r="V3" s="5"/>
      <c r="W3" s="5"/>
    </row>
    <row r="4" spans="2:23" x14ac:dyDescent="0.25">
      <c r="B4" s="10" t="s">
        <v>125</v>
      </c>
      <c r="C4" s="1">
        <v>12</v>
      </c>
      <c r="E4" s="16">
        <f>C4*12</f>
        <v>144</v>
      </c>
      <c r="G4" s="10" t="s">
        <v>19</v>
      </c>
      <c r="H4" s="1">
        <v>10</v>
      </c>
      <c r="T4" s="5" t="s">
        <v>99</v>
      </c>
      <c r="U4" s="5" t="s">
        <v>20</v>
      </c>
      <c r="V4" s="5"/>
      <c r="W4" s="5"/>
    </row>
    <row r="5" spans="2:23" x14ac:dyDescent="0.25">
      <c r="B5" s="10" t="s">
        <v>126</v>
      </c>
      <c r="C5" s="1">
        <v>30</v>
      </c>
      <c r="E5" s="9" t="s">
        <v>21</v>
      </c>
      <c r="G5" s="10" t="s">
        <v>22</v>
      </c>
      <c r="H5" s="1">
        <v>3</v>
      </c>
      <c r="J5" s="7" t="s">
        <v>93</v>
      </c>
      <c r="K5" s="7" t="s">
        <v>94</v>
      </c>
      <c r="L5" s="7" t="s">
        <v>6</v>
      </c>
      <c r="M5" s="7" t="s">
        <v>7</v>
      </c>
      <c r="T5" s="5"/>
      <c r="U5" s="5" t="s">
        <v>15</v>
      </c>
      <c r="V5" s="5"/>
      <c r="W5" s="5"/>
    </row>
    <row r="6" spans="2:23" x14ac:dyDescent="0.25">
      <c r="B6" s="12" t="s">
        <v>127</v>
      </c>
      <c r="C6" s="13"/>
      <c r="E6" s="16">
        <f>C5*12</f>
        <v>360</v>
      </c>
      <c r="G6" s="10" t="s">
        <v>23</v>
      </c>
      <c r="H6" s="1">
        <v>7</v>
      </c>
      <c r="J6" s="2" t="s">
        <v>15</v>
      </c>
      <c r="K6" s="2" t="s">
        <v>98</v>
      </c>
      <c r="L6" s="2" t="s">
        <v>16</v>
      </c>
      <c r="M6" s="2" t="s">
        <v>17</v>
      </c>
      <c r="T6" s="5" t="s">
        <v>24</v>
      </c>
      <c r="U6" s="5"/>
      <c r="V6" s="5"/>
      <c r="W6" s="5"/>
    </row>
    <row r="7" spans="2:23" x14ac:dyDescent="0.25">
      <c r="B7" s="10" t="s">
        <v>25</v>
      </c>
      <c r="C7" s="3" cm="1">
        <f t="array" ref="C7">IF($L$6="Parallel (To Home)",IF($C$5&gt;=21,24,_xlfn.IFS($C$5&lt;=4,12,$C$5&lt;=5,12,$C$5&lt;=6,12,$C$5&lt;=7,16,$C$5&lt;=8,16,$C$5&lt;=9,20,$C$5&lt;=10,12,$C$5&lt;=11,12,$C$5&lt;=12,12,$C$5&lt;=16,16,$C$5&lt;=20,20)),IF($C$4&gt;=21,24,_xlfn.IFS($C$4&lt;=4,12,$C$4&lt;=5,12,$C$4&lt;=6,12,$C$4&lt;=7,16,$C$4&lt;=8,16,$C$4&lt;=9,20,$C$4&lt;=10,12,$C$4&lt;=11,12,$C$4&lt;=12,12,$C$4&lt;=16,16,$C$4&lt;=20,20)))</f>
        <v>12</v>
      </c>
      <c r="E7" s="9" t="s">
        <v>26</v>
      </c>
      <c r="G7" s="10" t="s">
        <v>27</v>
      </c>
      <c r="H7" s="1">
        <v>11</v>
      </c>
      <c r="T7" s="5" t="s">
        <v>28</v>
      </c>
      <c r="U7" s="5" t="s">
        <v>93</v>
      </c>
      <c r="V7" s="5"/>
      <c r="W7" s="5"/>
    </row>
    <row r="8" spans="2:23" x14ac:dyDescent="0.25">
      <c r="B8" s="10" t="s">
        <v>29</v>
      </c>
      <c r="C8" s="3">
        <f>IF($L$6="Parallel (to Home)",IF($C$5&lt;=12,$W$52,$U$58),IF($C$4&lt;=12,$W$51,$U$58))</f>
        <v>66</v>
      </c>
      <c r="E8" s="16">
        <f>C5*C4</f>
        <v>360</v>
      </c>
      <c r="T8" s="5" t="s">
        <v>17</v>
      </c>
      <c r="U8" s="5" t="s">
        <v>20</v>
      </c>
      <c r="V8" s="5"/>
      <c r="W8" s="5"/>
    </row>
    <row r="9" spans="2:23" x14ac:dyDescent="0.25">
      <c r="B9" s="10" t="s">
        <v>30</v>
      </c>
      <c r="C9" s="3">
        <f>IF($L$6="Parallel (To Home)",$U$55,$U$54)</f>
        <v>0</v>
      </c>
      <c r="G9" s="10" t="s">
        <v>31</v>
      </c>
      <c r="H9" s="3" cm="1">
        <f t="array" ref="H9">_xlfn.IFS($H$5&lt;=3,24,$H$5&lt;=4,24,$H$5&lt;=5,20,$H$5&lt;=6,24)</f>
        <v>24</v>
      </c>
      <c r="T9" s="5" t="s">
        <v>32</v>
      </c>
      <c r="U9" s="5" t="s">
        <v>15</v>
      </c>
      <c r="V9" s="5"/>
      <c r="W9" s="5"/>
    </row>
    <row r="10" spans="2:23" x14ac:dyDescent="0.25">
      <c r="B10" s="10" t="s">
        <v>33</v>
      </c>
      <c r="C10" s="3">
        <f>IF($L$6="Parallel (To Home)",IF($T$23=0,0,IF($T$23&lt;=12,$W$55,$U$60)),IF($U$23=0,0,IF($U$23&lt;=12,$W$54,$U$60)))</f>
        <v>0</v>
      </c>
      <c r="G10" s="10" t="str">
        <f>_xlfn.CONCAT(J3," ","Boards Needed")</f>
        <v>I.Dekk S4S Boards Needed</v>
      </c>
      <c r="H10" s="3">
        <f>ROUNDUP((($H$4*12)/$H$6)*(IF($J$3="OPTIMA Dekk",ROUNDUP(($H$7/5.5),0),IF($J$3="I.Dekk S4S",ROUNDUP(($H$7/5.5),0),ROUNDUP(($H$7/5.5),0))))/ROUNDDOWN(($H$9/$H$5),0),0)</f>
        <v>5</v>
      </c>
      <c r="T10" s="5"/>
      <c r="U10" s="5"/>
      <c r="V10" s="5"/>
      <c r="W10" s="5"/>
    </row>
    <row r="11" spans="2:23" x14ac:dyDescent="0.25">
      <c r="B11" s="14"/>
      <c r="T11" s="5" t="s">
        <v>35</v>
      </c>
      <c r="U11" s="5" t="s">
        <v>100</v>
      </c>
      <c r="V11" s="5"/>
      <c r="W11" s="5"/>
    </row>
    <row r="12" spans="2:23" x14ac:dyDescent="0.25">
      <c r="B12" s="20" t="s">
        <v>36</v>
      </c>
      <c r="C12" s="20"/>
      <c r="G12" s="20" t="s">
        <v>36</v>
      </c>
      <c r="H12" s="20"/>
      <c r="T12" s="5" t="s">
        <v>16</v>
      </c>
      <c r="U12" s="5" t="s">
        <v>101</v>
      </c>
      <c r="V12" s="5"/>
      <c r="W12" s="5"/>
    </row>
    <row r="13" spans="2:23" x14ac:dyDescent="0.25">
      <c r="B13" s="10" t="s">
        <v>102</v>
      </c>
      <c r="C13" s="3">
        <f>IF($L$6="Perpendicular (To Home)",IF($L$3="Tongue &amp; Groove",(($U$58+$U$60)*4),((ROUNDUP((($C$5*12)/5.5),0)*$V$37*2)+(ROUNDUP((($C$5*12)/5.5),0)*$V$38*2)+(ROUNDUP((($C$5*12)/5.5),0)*$V$39*2)+(ROUNDUP((($C$5*12)/5.5),0)*$V$40*2)+(ROUNDUP((($C$5*12)/5.5),0)*$V$41*2)+(ROUNDUP((($C$5*12)/5.5),0)*$V$42*2)+(ROUNDUP((($C$5*12)/5.5),0)*$V$43*2))+(($U$58+$U$60)*4)),IF($L$3="Tongue &amp; Groove",(($U$58+$U$60)*4),((ROUNDUP((($C$4*12)/5.5),0)*$U$37*2)+(ROUNDUP((($C$4*12)/5.5),0)*$U$38*2)+(ROUNDUP((($C$4*12)/5.5),0)*$U$39*2)+(ROUNDUP((($C$4*12)/5.5),0)*$U$40*2)+(ROUNDUP((($C$4*12)/5.5),0)*$U$41*2)+(ROUNDUP((($C$4*12)/5.5),0)*$U$42*2)+(ROUNDUP((($C$4*12)/5.5),0)*$U$43*2))+(($U$58+$U$60)*4)))+30</f>
        <v>294</v>
      </c>
      <c r="G13" s="10" t="s">
        <v>38</v>
      </c>
      <c r="H13" s="3">
        <f>ROUNDUP(ROUNDUP(($H$4*12)/$H$6,0)/ROUNDUP((12/$H$5),0)/IF($H$6&lt;=6,2,1),0)</f>
        <v>5</v>
      </c>
      <c r="T13" s="5" t="s">
        <v>103</v>
      </c>
      <c r="U13" s="5" t="s">
        <v>98</v>
      </c>
      <c r="V13" s="5"/>
      <c r="W13" s="5"/>
    </row>
    <row r="14" spans="2:23" x14ac:dyDescent="0.25">
      <c r="B14" s="10" t="s">
        <v>104</v>
      </c>
      <c r="C14" s="3">
        <f>IF(L3="Tongue &amp; Groove",IF($L$6="Perpendicular (To Home)",IF($L$3="Tongue &amp; Groove",((ROUNDUP((($C$5*12)/5.5),0)*$V$37)+(ROUNDUP((($C$5*12)/5.5),0)*$V$38)+(ROUNDUP((($C$5*12)/5.5),0)*$V$39)+(ROUNDUP((($C$5*12)/5.5),0)*$V$40)+(ROUNDUP((($C$5*12)/5.5),0)*$V$41)+(ROUNDUP((($C$5*12)/5.5),0)*$V$42)+(ROUNDUP((($C$5*12)/5.5),0)*$V$43)),0),IF($L$3="Tongue &amp; Groove",((ROUNDUP((($C$4*12)/5.5),0)*$U$37)+(ROUNDUP((($C$4*12)/5.5),0)*$U$38)+(ROUNDUP((($C$4*12)/5.5),0)*$U$39)+(ROUNDUP((($C$4*12)/5.5),0)*$U$40)+(ROUNDUP((($C$4*12)/5.5),0)*$U$41)+(ROUNDUP((($C$4*12)/5.5),0)*$U$42)+(ROUNDUP((($C$4*12)/5.5),0)*$U$43)),0))+IF(L6="Parallel (To Home)",ROUNDUP((($C$4*12)/5.5),0)*$T$33*2,ROUNDUP((($C$5*12)/5.5),0)*$U$33*2)+30,0)</f>
        <v>690</v>
      </c>
      <c r="G14" s="10" t="s">
        <v>40</v>
      </c>
      <c r="H14" s="3">
        <f>ROUNDUP((($H$5*12)/12)*3*ROUNDUP(($H$4*12)/$H$6,0)*IF($H$6&lt;=6,2,1)+20,0)</f>
        <v>182</v>
      </c>
      <c r="T14" s="5"/>
      <c r="U14" s="5"/>
      <c r="V14" s="5"/>
      <c r="W14" s="5"/>
    </row>
    <row r="15" spans="2:23" x14ac:dyDescent="0.25">
      <c r="T15" s="5"/>
      <c r="U15" s="5"/>
      <c r="V15" s="5"/>
      <c r="W15" s="5"/>
    </row>
    <row r="16" spans="2:23" x14ac:dyDescent="0.25">
      <c r="B16" s="20" t="s">
        <v>55</v>
      </c>
      <c r="C16" s="20"/>
      <c r="G16" s="10" t="str">
        <f>IF(J3="OPTIMA Dekk","2 3/4 IN (Or Longer) Screws)","2 1/2 IN (Or longer) Screws")</f>
        <v>2 1/2 IN (Or longer) Screws</v>
      </c>
      <c r="H16" s="3">
        <f>ROUNDUP(((($H$5*12)/12)+1)*2*ROUNDUP($H$7/5.5,0)*ROUNDUP(($H$4*12)/$H$6,0)+20,0)</f>
        <v>308</v>
      </c>
      <c r="T16" s="5" t="s">
        <v>41</v>
      </c>
      <c r="U16" s="5"/>
      <c r="V16" s="5"/>
      <c r="W16" s="5"/>
    </row>
    <row r="17" spans="2:23" x14ac:dyDescent="0.25">
      <c r="B17" s="10" t="s">
        <v>105</v>
      </c>
      <c r="C17" s="4">
        <f>IF($N$3="Away from Home",ROUNDUP((($C$4*2)+($C$5*2))/$U$57,0),ROUNDUP((($C$4*2)+$C$5)/$U$57,0))</f>
        <v>5</v>
      </c>
      <c r="T17" s="5">
        <f>IF(ROUND(($C$5/$U$57),0)&gt;0,ROUND(($C$5/$U$57),0),1)</f>
        <v>3</v>
      </c>
      <c r="U17" s="5">
        <f>IF(ROUND(($C$4/$U$57),0)&gt;1,ROUND(($C$4/$U$57),0),1)</f>
        <v>1</v>
      </c>
      <c r="V17" s="5"/>
      <c r="W17" s="5"/>
    </row>
    <row r="18" spans="2:23" x14ac:dyDescent="0.25">
      <c r="B18" s="10" t="s">
        <v>106</v>
      </c>
      <c r="C18" s="4">
        <f>ROUNDUP(IF($N$3="Away from Home",(((($C$4*2)+($C$5*2))*12)/16)*2,(((($C$4*2)+$C$5)*12)/16)*2)+20,0)</f>
        <v>101</v>
      </c>
      <c r="T18" s="5" t="s">
        <v>44</v>
      </c>
      <c r="U18" s="5"/>
      <c r="V18" s="5"/>
      <c r="W18" s="5"/>
    </row>
    <row r="19" spans="2:23" x14ac:dyDescent="0.25">
      <c r="G19" s="18" t="s">
        <v>128</v>
      </c>
      <c r="H19" s="19"/>
      <c r="I19" s="19"/>
      <c r="J19" s="19"/>
      <c r="T19" s="5">
        <f>$C$5/$U$57</f>
        <v>2.5</v>
      </c>
      <c r="U19" s="5">
        <f>$C$4/$U$57</f>
        <v>1</v>
      </c>
      <c r="V19" s="5"/>
      <c r="W19" s="5"/>
    </row>
    <row r="20" spans="2:23" x14ac:dyDescent="0.25">
      <c r="B20" s="10" t="s">
        <v>107</v>
      </c>
      <c r="C20" s="3">
        <f>IF($L$6="Parallel (To Home)",ROUNDUP(($C$4/$U$57),0)*$T$33,ROUNDUP(($C$5/$U$57),0)*$U$33)</f>
        <v>0</v>
      </c>
      <c r="T20" s="5" t="s">
        <v>46</v>
      </c>
      <c r="U20" s="5"/>
      <c r="V20" s="5"/>
      <c r="W20" s="5"/>
    </row>
    <row r="21" spans="2:23" x14ac:dyDescent="0.25">
      <c r="B21" s="10" t="s">
        <v>108</v>
      </c>
      <c r="C21" s="3">
        <f>ROUNDUP(IF($C$20=0,0,IF($L$6="Perpendicular (To Home)",IF(($C$4-$U$57)&gt;($U$57*3),(4*$T$26*2),IF(($C$4-$U$57)&gt;($U$57*2),(3*$T$26*2),IF(($C$4-$U$57)&gt;($U$57),(2*$T$26*2),IF(($C$4-$U$57)&gt;0,($T$26*2),0)))),IF(($C$5-$U$57)&gt;($U$57*3),(4*$T$26*2),IF(($C$5-$U$57)&gt;($U$57*2),(3*$T$26*2),IF(($C$5-$U$57)&gt;($U$57),(2*$T$26*2),IF(($C$5-$U$57)&gt;0,($T$26*2),0)))))+20),0)</f>
        <v>0</v>
      </c>
      <c r="T21" s="5">
        <f>IF($T$19&lt;=1,0,ABS($T$19-TRUNC($T$19)))</f>
        <v>0.5</v>
      </c>
      <c r="U21" s="5">
        <f>IF($U$19&lt;=1,0,ABS($U$19-TRUNC($U$19)))</f>
        <v>0</v>
      </c>
      <c r="V21" s="5"/>
      <c r="W21" s="5"/>
    </row>
    <row r="22" spans="2:23" x14ac:dyDescent="0.25">
      <c r="T22" s="5" t="s">
        <v>49</v>
      </c>
      <c r="U22" s="5"/>
      <c r="V22" s="5"/>
      <c r="W22" s="5"/>
    </row>
    <row r="23" spans="2:23" x14ac:dyDescent="0.25">
      <c r="B23" s="10" t="s">
        <v>38</v>
      </c>
      <c r="C23" s="4">
        <f>IF($N$3="Away from Home",ROUNDUP((($C$4*2)+($C$5*2))/12,0),ROUNDUP((($C$4*2)+$C$5)/12,0))</f>
        <v>5</v>
      </c>
      <c r="T23" s="5">
        <f>$U$57*$T$21</f>
        <v>6</v>
      </c>
      <c r="U23" s="5">
        <f>$U$57*$U$21</f>
        <v>0</v>
      </c>
      <c r="V23" s="5"/>
      <c r="W23" s="5"/>
    </row>
    <row r="24" spans="2:23" x14ac:dyDescent="0.25">
      <c r="B24" s="10" t="s">
        <v>40</v>
      </c>
      <c r="C24" s="4">
        <f>ROUNDUP(IF($N$3="Away from Home",(((($C$4*2)+($C$5*2))*12)/12)*3,(((($C$4*2)+$C$5)*12)/12)*3)+20,0)</f>
        <v>182</v>
      </c>
      <c r="T24" s="5"/>
      <c r="U24" s="5"/>
      <c r="V24" s="5"/>
      <c r="W24" s="5"/>
    </row>
    <row r="25" spans="2:23" x14ac:dyDescent="0.25">
      <c r="T25" s="5" t="s">
        <v>54</v>
      </c>
      <c r="U25" s="5"/>
      <c r="V25" s="5"/>
      <c r="W25" s="5"/>
    </row>
    <row r="26" spans="2:23" x14ac:dyDescent="0.25">
      <c r="B26" s="10" t="s">
        <v>109</v>
      </c>
      <c r="C26" s="3">
        <v>1</v>
      </c>
      <c r="T26" s="5">
        <f>ROUNDUP(IF($L$6="Perpendicular (To Home)",(($C$4*12)/(IF($M$6="16 IN",16,IF($M$6="24 IN",24,12)))),(($C$5*12)/(IF($M$6="16 IN",16,IF($M$6="24 IN",24,12))))),0)+1</f>
        <v>10</v>
      </c>
      <c r="U26" s="5"/>
      <c r="V26" s="5"/>
      <c r="W26" s="5"/>
    </row>
    <row r="27" spans="2:23" x14ac:dyDescent="0.25">
      <c r="B27" t="s">
        <v>110</v>
      </c>
      <c r="T27" s="5"/>
      <c r="U27" s="5"/>
      <c r="V27" s="5"/>
      <c r="W27" s="5"/>
    </row>
    <row r="28" spans="2:23" x14ac:dyDescent="0.25">
      <c r="B28" t="s">
        <v>111</v>
      </c>
      <c r="T28" s="5" t="s">
        <v>8</v>
      </c>
      <c r="U28" s="5"/>
      <c r="V28" s="5"/>
      <c r="W28" s="5"/>
    </row>
    <row r="29" spans="2:23" x14ac:dyDescent="0.25">
      <c r="B29" t="s">
        <v>112</v>
      </c>
      <c r="T29" s="5" t="s">
        <v>18</v>
      </c>
      <c r="U29" s="5"/>
      <c r="V29" s="5"/>
      <c r="W29" s="5"/>
    </row>
    <row r="30" spans="2:23" x14ac:dyDescent="0.25">
      <c r="T30" s="5" t="s">
        <v>57</v>
      </c>
      <c r="U30" s="5"/>
      <c r="V30" s="5"/>
      <c r="W30" s="5"/>
    </row>
    <row r="31" spans="2:23" x14ac:dyDescent="0.25">
      <c r="T31" s="5"/>
      <c r="U31" s="5"/>
      <c r="V31" s="5"/>
      <c r="W31" s="5"/>
    </row>
    <row r="32" spans="2:23" x14ac:dyDescent="0.25">
      <c r="T32" s="5" t="s">
        <v>59</v>
      </c>
      <c r="U32" s="5"/>
      <c r="V32" s="5"/>
      <c r="W32" s="5"/>
    </row>
    <row r="33" spans="6:23" x14ac:dyDescent="0.25">
      <c r="T33" s="5">
        <f>IF($L$6="Parallel (To Home)",IF($T$19&lt;=1,0,IF($T$19&lt;=2,1,TRUNC($T$19))),0)</f>
        <v>0</v>
      </c>
      <c r="U33" s="5">
        <f>IF($L$6="Perpendicular (To Home)",IF($U$19&lt;=1,0,IF($U$19&lt;=2,1,TRUNC($U$19))),0)</f>
        <v>0</v>
      </c>
      <c r="V33" s="5"/>
      <c r="W33" s="5"/>
    </row>
    <row r="34" spans="6:23" x14ac:dyDescent="0.25">
      <c r="T34" s="5" t="s">
        <v>62</v>
      </c>
      <c r="U34" s="5"/>
      <c r="V34" s="5"/>
      <c r="W34" s="5"/>
    </row>
    <row r="35" spans="6:23" x14ac:dyDescent="0.25">
      <c r="T35" s="5" cm="1">
        <f t="array" ref="T35">_xlfn.IFS(M6="16 IN",16,M6="12 IN",12,M6="24 IN",24)</f>
        <v>16</v>
      </c>
      <c r="U35" s="5"/>
      <c r="V35" s="5"/>
      <c r="W35" s="5"/>
    </row>
    <row r="36" spans="6:23" x14ac:dyDescent="0.25">
      <c r="T36" s="5" t="s">
        <v>63</v>
      </c>
      <c r="U36" s="5"/>
      <c r="V36" s="5"/>
      <c r="W36" s="5"/>
    </row>
    <row r="37" spans="6:23" x14ac:dyDescent="0.25">
      <c r="F37" s="17"/>
      <c r="T37" s="5" t="s">
        <v>64</v>
      </c>
      <c r="U37" s="5">
        <f>IF($T$19&lt;=1,ROUNDUP(((($U$57*12)/$T$35)*$T$19),0)+1,(($U$57*12)/$T$35)+1)</f>
        <v>10</v>
      </c>
      <c r="V37" s="5">
        <f>IF($U$19&lt;=1,ROUNDUP(((($U$57*12)/$T$35)*$U$19),0)+1,(($U$57*12)/$T$35)+1)</f>
        <v>10</v>
      </c>
      <c r="W37" s="5"/>
    </row>
    <row r="38" spans="6:23" x14ac:dyDescent="0.25">
      <c r="T38" s="5" t="s">
        <v>65</v>
      </c>
      <c r="U38" s="5">
        <f>ROUNDUP(IF(AND($T$19&gt;1,$T$19&lt;2),IF($U$59=0,(($U$57*12)/$T$35)*($T$19-TRUNC($T$19)),(($U$59*12)/$T$35)*($T$23/$U$59)),IF($T$19&lt;1.0001,0,(($U$57*12)/$T$35))),0)</f>
        <v>9</v>
      </c>
      <c r="V38" s="5">
        <f>ROUNDUP(IF(AND($U$19&gt;1,$U$19&lt;2),IF($U$59=0,(($U$57*12)/$T$35)*($U$19-TRUNC($U$19)),(($U$59*12)/$T$35)*($U$23/$U$59)),IF($U$19&lt;1.0001,0,(($U$57*12)/$T$35))),0)</f>
        <v>0</v>
      </c>
      <c r="W38" s="5"/>
    </row>
    <row r="39" spans="6:23" x14ac:dyDescent="0.25">
      <c r="T39" s="5" t="s">
        <v>66</v>
      </c>
      <c r="U39" s="5">
        <f>ROUNDUP(IF(AND($T$19&gt;2,$T$19&lt;3),IF($U$59=0,(($U$57*12)/$T$35)*($T$19-TRUNC($T$19)),(($U$59*12)/$T$35)*($T$23/$U$59)),IF($T$19&lt;2.0001,0,(($U$57*12)/$T$35))),0)</f>
        <v>5</v>
      </c>
      <c r="V39" s="5">
        <f>ROUNDUP(IF(AND($U$19&gt;2,$U$19&lt;3),IF($U$59=0,(($U$57*12)/$T$35)*($U$19-TRUNC($U$19)),(($U$59*12)/$T$35)*($U$23/$U$59)),IF($U$19&lt;2.0001,0,(($U$57*12)/$T$35))),0)</f>
        <v>0</v>
      </c>
      <c r="W39" s="5"/>
    </row>
    <row r="40" spans="6:23" x14ac:dyDescent="0.25">
      <c r="T40" s="5" t="s">
        <v>67</v>
      </c>
      <c r="U40" s="5">
        <f>ROUNDUP(IF(AND($T$19&gt;3,$T$19&lt;4),IF($U$59=0,(($U$57*12)/$T$35)*($T$19-TRUNC($T$19)),(($U$59*12)/$T$35)*($T$23/$U$59)),IF($T$19&lt;3.0001,0,(($U$57*12)/$T$35))),0)</f>
        <v>0</v>
      </c>
      <c r="V40" s="5">
        <f>ROUNDUP(IF(AND($U$19&gt;3,$U$19&lt;4),IF($U$59=0,(($U$57*12)/$T$35)*($U$19-TRUNC($U$19)),(($U$59*12)/$T$35)*($U$23/$U$59)),IF($U$19&lt;3.0001,0,(($U$57*12)/$T$35))),0)</f>
        <v>0</v>
      </c>
      <c r="W40" s="5"/>
    </row>
    <row r="41" spans="6:23" x14ac:dyDescent="0.25">
      <c r="T41" s="5" t="s">
        <v>68</v>
      </c>
      <c r="U41" s="5">
        <f>ROUNDUP(IF(AND($T$19&gt;4,$T$19&lt;5),IF($U$59=0,(($U$57*12)/$T$35)*($T$19-TRUNC($T$19)),(($U$59*12)/$T$35)*($T$23/$U$59)),IF($T$19&lt;4.0001,0,(($U$57*12)/$T$35))),0)</f>
        <v>0</v>
      </c>
      <c r="V41" s="5">
        <f>ROUNDUP(IF(AND($U$19&gt;4,$U$19&lt;5),IF($U$59=0,(($U$57*12)/$T$35)*($U$19-TRUNC($U$19)),(($U$59*12)/$T$35)*($U$23/$U$59)),IF($U$19&lt;4.0001,0,(($U$57*12)/$T$35))),0)</f>
        <v>0</v>
      </c>
      <c r="W41" s="5"/>
    </row>
    <row r="42" spans="6:23" x14ac:dyDescent="0.25">
      <c r="T42" s="5" t="s">
        <v>69</v>
      </c>
      <c r="U42" s="5">
        <f>ROUNDUP(IF(AND($T$19&gt;5,$T$19&lt;6),IF($U$59=0,(($U$57*12)/$T$35)*($T$19-TRUNC($T$19)),(($U$59*12)/$T$35)*($T$23/$U$59)),IF($T$19&lt;5.0001,0,(($U$57*12)/$T$35))),0)</f>
        <v>0</v>
      </c>
      <c r="V42" s="5">
        <f>ROUNDUP(IF(AND($U$19&gt;5,$U$19&lt;6),IF($U$59=0,(($U$57*12)/$T$35)*($U$19-TRUNC($U$19)),(($U$59*12)/$T$35)*($U$23/$U$59)),IF($U$19&lt;5.0001,0,(($U$57*12)/$T$35))),0)</f>
        <v>0</v>
      </c>
      <c r="W42" s="5"/>
    </row>
    <row r="43" spans="6:23" x14ac:dyDescent="0.25">
      <c r="T43" s="5" t="s">
        <v>70</v>
      </c>
      <c r="U43" s="5">
        <f>ROUNDUP(IF(AND($T$19&gt;6,$T$19&lt;7),IF($U$59=0,(($U$57*12)/$T$35)*($T$19-TRUNC($T$19)),(($U$59*12)/$T$35)*($T$23/$U$59)),IF($T$19&lt;6.0001,0,(($U$57*12)/$T$35))),0)</f>
        <v>0</v>
      </c>
      <c r="V43" s="5">
        <f>ROUNDUP(IF(AND($U$19&gt;6,$U$19&lt;7),IF($U$59=0,(($U$57*12)/$T$35)*($U$19-TRUNC($U$19)),(($U$59*12)/$T$35)*($U$23/$U$59)),IF($U$19&lt;6.0001,0,(($U$57*12)/$T$35))),0)</f>
        <v>0</v>
      </c>
      <c r="W43" s="5"/>
    </row>
    <row r="44" spans="6:23" x14ac:dyDescent="0.25">
      <c r="T44" s="5"/>
      <c r="U44" s="5"/>
      <c r="V44" s="5"/>
      <c r="W44" s="5"/>
    </row>
    <row r="45" spans="6:23" x14ac:dyDescent="0.25">
      <c r="T45" s="5" t="s">
        <v>71</v>
      </c>
      <c r="U45" s="5"/>
      <c r="V45" s="5"/>
      <c r="W45" s="5"/>
    </row>
    <row r="46" spans="6:23" x14ac:dyDescent="0.25">
      <c r="T46" s="5" t="s">
        <v>72</v>
      </c>
      <c r="U46" s="5"/>
      <c r="V46" s="5"/>
      <c r="W46" s="5"/>
    </row>
    <row r="47" spans="6:23" x14ac:dyDescent="0.25">
      <c r="T47" s="5" t="s">
        <v>73</v>
      </c>
      <c r="U47" s="5"/>
      <c r="V47" s="5"/>
      <c r="W47" s="5"/>
    </row>
    <row r="48" spans="6:23" x14ac:dyDescent="0.25">
      <c r="T48" s="5" t="s">
        <v>13</v>
      </c>
      <c r="U48" s="5"/>
      <c r="V48" s="5"/>
      <c r="W48" s="5"/>
    </row>
    <row r="49" spans="20:23" x14ac:dyDescent="0.25">
      <c r="T49" s="5"/>
      <c r="U49" s="5"/>
      <c r="V49" s="5"/>
      <c r="W49" s="5"/>
    </row>
    <row r="50" spans="20:23" x14ac:dyDescent="0.25">
      <c r="T50" s="5" t="s">
        <v>74</v>
      </c>
      <c r="U50" s="5" t="s">
        <v>75</v>
      </c>
      <c r="V50" s="5" t="s">
        <v>76</v>
      </c>
      <c r="W50" s="5" t="s">
        <v>77</v>
      </c>
    </row>
    <row r="51" spans="20:23" x14ac:dyDescent="0.25">
      <c r="T51" s="5" t="s">
        <v>52</v>
      </c>
      <c r="U51" s="5" cm="1">
        <f t="array" ref="U51">IF($C$4&gt;=21,24,_xlfn.IFS($C$4&lt;=4,12,$C$4&lt;=5,12,$C$4&lt;=6,12,$C$4&lt;=7,16,$C$4&lt;=8,16,$C$4&lt;=9,20,$C$4&lt;=10,12,$C$4&lt;=11,12,$C$4&lt;=12,12,$C$4&lt;=16,16,$C$4&lt;=20,20))</f>
        <v>12</v>
      </c>
      <c r="V51" s="5">
        <f>ROUNDDOWN($U$51/$C$4,0)</f>
        <v>1</v>
      </c>
      <c r="W51" s="5">
        <f>ROUNDUP($U$58/$V$51,0)</f>
        <v>66</v>
      </c>
    </row>
    <row r="52" spans="20:23" x14ac:dyDescent="0.25">
      <c r="T52" s="5" t="s">
        <v>51</v>
      </c>
      <c r="U52" s="5" cm="1">
        <f t="array" ref="U52">IF($C$5&gt;=21,24,_xlfn.IFS($C$5&lt;=4,12,$C$5&lt;=5,12,$C$5&lt;=6,12,$C$5&lt;=7,16,$C$5&lt;=8,16,$C$5&lt;=9,20,$C$5&lt;=10,12,$C$5&lt;=11,12,$C$5&lt;=12,12,$C$5&lt;=16,16,$C$5&lt;=20,20))</f>
        <v>24</v>
      </c>
      <c r="V52" s="5">
        <f>ROUNDDOWN($U$52/$C$5,0)</f>
        <v>0</v>
      </c>
      <c r="W52" s="5" t="e">
        <f>ROUNDUP($U$58/$V$52,0)</f>
        <v>#DIV/0!</v>
      </c>
    </row>
    <row r="53" spans="20:23" x14ac:dyDescent="0.25">
      <c r="T53" s="5" t="s">
        <v>78</v>
      </c>
      <c r="U53" s="5"/>
      <c r="V53" s="5"/>
      <c r="W53" s="5"/>
    </row>
    <row r="54" spans="20:23" x14ac:dyDescent="0.25">
      <c r="T54" s="5" t="s">
        <v>52</v>
      </c>
      <c r="U54" s="5" cm="1">
        <f t="array" ref="U54">IF($U$23=0,0,IF($C$7&lt;=12,12,IF($C$7&lt;=16,_xlfn.IFS($U$23&lt;=4,16,$U$23&lt;=5,16,$U$23&lt;=6,12,$U$23&lt;=7,16,$U$23&lt;=8,16,$U$23&lt;=9,12,$U$23&lt;=10,12,$U$23&lt;=11,12,$U$23&lt;=12,12),IF($C$7&lt;=20,_xlfn.IFS($U$23&lt;=4,20,$U$23&lt;=5,20,$U$23&lt;=6,12,$U$23&lt;=7,16,$U$23&lt;=8,16,$U$23&lt;=9,20,$U$23&lt;=10,20,$U$23&lt;=11,12,$U$23&lt;=12,12),IF($C$7&lt;=24,_xlfn.IFS($U$23&lt;=4,24,$U$23&lt;=5,20,$U$23&lt;=6,24,$U$23&lt;=7,24,$U$23&lt;=8,24,$U$23&lt;=9,20,$U$23&lt;=10,20,$U$23&lt;=11,24,$U$23&lt;=12,24),0)))))</f>
        <v>0</v>
      </c>
      <c r="V54" s="5" t="e">
        <f>ROUNDDOWN($U$54/$U$23,0)</f>
        <v>#DIV/0!</v>
      </c>
      <c r="W54" s="5" t="e">
        <f>ROUNDUP($U$60/$V$54,0)</f>
        <v>#DIV/0!</v>
      </c>
    </row>
    <row r="55" spans="20:23" x14ac:dyDescent="0.25">
      <c r="T55" s="5" t="s">
        <v>51</v>
      </c>
      <c r="U55" s="5" cm="1">
        <f t="array" ref="U55">IF($T$23=0,0,IF($C$7&lt;=12,12,IF($C$7&lt;=16,_xlfn.IFS($T$23&lt;=4,16,$T$23&lt;=5,16,$T$23&lt;=6,12,$T$23&lt;=7,16,$T$23&lt;=8,16,$T$23&lt;=9,12,$T$23&lt;=10,12,$T$23&lt;=11,12,$T$23&lt;=12,12),IF($C$7&lt;=20,_xlfn.IFS($T$23&lt;=4,20,$T$23&lt;=5,20,$T$23&lt;=6,12,$T$23&lt;=7,16,$T$23&lt;=8,16,$T$23&lt;=9,20,$T$23&lt;=10,20,$T$23&lt;=11,12,$T$23&lt;=12,12),IF($C$7&lt;=24,_xlfn.IFS($T$23&lt;=4,24,$T$23&lt;=5,20,$T$23&lt;=6,24,$T$23&lt;=7,24,$T$23&lt;=8,24,$T$23&lt;=9,20,$T$23&lt;=10,20,$T$23&lt;=11,24,$T$23&lt;=12,24),0)))))</f>
        <v>12</v>
      </c>
      <c r="V55" s="5">
        <f>ROUNDDOWN($U$55/$T$23,0)</f>
        <v>2</v>
      </c>
      <c r="W55" s="5">
        <f>ROUNDUP($U$60/$V$55,0)</f>
        <v>0</v>
      </c>
    </row>
    <row r="56" spans="20:23" x14ac:dyDescent="0.25">
      <c r="T56" s="5"/>
      <c r="U56" s="5"/>
      <c r="V56" s="5"/>
      <c r="W56" s="5"/>
    </row>
    <row r="57" spans="20:23" x14ac:dyDescent="0.25">
      <c r="T57" s="5" t="s">
        <v>79</v>
      </c>
      <c r="U57" s="5" cm="1">
        <f t="array" ref="U57">IF($L$6="Parallel (To Home)",IF($C$5&gt;=21,24,_xlfn.IFS($C$5&lt;=12,12,$C$5&lt;=16,16,$C$5&lt;=20,20)),IF($C$4&gt;=21,24,_xlfn.IFS($C$4&lt;=12,12,$C$4&lt;=16,16,$C$4&lt;=20,20)))</f>
        <v>12</v>
      </c>
      <c r="V57" s="5"/>
      <c r="W57" s="5"/>
    </row>
    <row r="58" spans="20:23" x14ac:dyDescent="0.25">
      <c r="T58" s="5" t="s">
        <v>80</v>
      </c>
      <c r="U58" s="5">
        <f>IF($L$6="Parallel (To Home)",(IF($L$3="Tongue &amp; Groove",ROUNDUP(($C$4*12)/5.5,0),ROUNDUP(($C$4*12)/5.5,0)))*IF(U59=0,$T$17,IF($T$17=1,1,$T$17-1)),(IF($L$3="Tongue &amp; Groove",ROUNDUP(($C$5*12)/5.5,0),ROUNDUP(($C$5*12)/5.5,0))*IF(U59=0,$U$17,IF($U$17=1,1,$U$17-1))))</f>
        <v>66</v>
      </c>
      <c r="V58" s="5"/>
      <c r="W58" s="5"/>
    </row>
    <row r="59" spans="20:23" x14ac:dyDescent="0.25">
      <c r="T59" s="5" t="s">
        <v>81</v>
      </c>
      <c r="U59" s="5" cm="1">
        <f t="array" ref="U59">IF($L$6="Parallel (To Home)",_xlfn.IFS($T$23=0,0,$T$23&lt;=12,12,$T$23&lt;=16,16,$T$23&lt;=20,0,$T$23&gt;20,0),_xlfn.IFS($U$23=0,0,$U$23&lt;=12,12,$U$23&lt;=16,16,$U$23&lt;=20,20,$U$23&gt;20,0))</f>
        <v>0</v>
      </c>
      <c r="V59" s="5"/>
      <c r="W59" s="5"/>
    </row>
    <row r="60" spans="20:23" x14ac:dyDescent="0.25">
      <c r="T60" s="5" t="s">
        <v>82</v>
      </c>
      <c r="U60" s="5">
        <f>IF($U$59&lt;&gt;0,IF($L$6="Parallel (To Home)",IF($L$3="Tongue &amp; Groove",ROUNDUP(($C$4*12)/5.5,0),ROUNDUP(($C$4*12)/5.5,0)),IF($L$3="Tongue &amp; Groove",ROUNDUP(($C$5*12)/5.5,0),ROUNDUP(($C$5*12)/5.5,0))),0)</f>
        <v>0</v>
      </c>
      <c r="V60" s="5"/>
      <c r="W60" s="5"/>
    </row>
    <row r="61" spans="20:23" x14ac:dyDescent="0.25">
      <c r="T61" s="5"/>
      <c r="U61" s="5"/>
      <c r="V61" s="5"/>
      <c r="W61" s="5"/>
    </row>
    <row r="62" spans="20:23" x14ac:dyDescent="0.25">
      <c r="T62" s="5" t="s">
        <v>113</v>
      </c>
      <c r="U62" s="5"/>
      <c r="V62" s="5"/>
      <c r="W62" s="5"/>
    </row>
    <row r="63" spans="20:23" x14ac:dyDescent="0.25">
      <c r="T63" s="5" t="s">
        <v>97</v>
      </c>
      <c r="U63" s="5"/>
      <c r="V63" s="5"/>
      <c r="W63" s="5"/>
    </row>
    <row r="64" spans="20:23" x14ac:dyDescent="0.25">
      <c r="T64" s="5"/>
      <c r="U64" s="5"/>
      <c r="V64" s="5"/>
      <c r="W64" s="5"/>
    </row>
    <row r="65" spans="20:23" x14ac:dyDescent="0.25">
      <c r="T65" s="5" t="s">
        <v>84</v>
      </c>
      <c r="U65" s="5" t="s">
        <v>85</v>
      </c>
      <c r="V65" s="5" t="s">
        <v>86</v>
      </c>
      <c r="W65" s="5" t="s">
        <v>87</v>
      </c>
    </row>
    <row r="66" spans="20:23" x14ac:dyDescent="0.25">
      <c r="T66" s="5">
        <f>IF(($C$13+$C$21+$C$18)&gt;300,1,0)</f>
        <v>1</v>
      </c>
      <c r="U66" s="5">
        <f>IF(($C$13+$C$21+$C$18)&lt;=75,1,IF(($C$13+$C$21+$C$18)&lt;=150,2,IF(($C$13+$C$21+$C$18)&lt;=225,2,IF(($C$13+$C$21+$C$18)&lt;=300,4,0))))</f>
        <v>0</v>
      </c>
      <c r="V66" s="5">
        <f>SUM(T66:T85)</f>
        <v>1</v>
      </c>
      <c r="W66" s="5">
        <f>SUM(U66:U85)</f>
        <v>1</v>
      </c>
    </row>
    <row r="67" spans="20:23" x14ac:dyDescent="0.25">
      <c r="T67" s="5">
        <f>IF(($C$13+$C$21+$C$18)&gt;700,1,0)</f>
        <v>0</v>
      </c>
      <c r="U67" s="5">
        <f>IF(($C$13+$C$21+$C$18)&gt;350,IF(($C$13+$C$21+$C$18)&lt;425,1,IF(($C$13+$C$21+$C$18)&lt;=500,2,IF(($C$13+$C$21+$C$18)&lt;=575,3,IF(($C$13+$C$21+$C$18)&lt;=650,4,0)))),0)</f>
        <v>1</v>
      </c>
      <c r="V67" s="5"/>
      <c r="W67" s="5"/>
    </row>
    <row r="68" spans="20:23" x14ac:dyDescent="0.25">
      <c r="T68" s="5">
        <f>IF(($C$13+$C$21+$C$18)&gt;1050,1,0)</f>
        <v>0</v>
      </c>
      <c r="U68" s="5">
        <f>IF(($C$13+$C$21+$C$18)&gt;700,IF(($C$13+$C$21+$C$18)&lt;=775,1,IF(($C$13+$C$21+$C$18)&lt;=850,2,IF(($C$13+$C$21+$C$18)&lt;=925,3,IF(($C$13+$C$21+$C$18)&lt;=1000,4,0)))),0)</f>
        <v>0</v>
      </c>
      <c r="V68" s="5"/>
      <c r="W68" s="5"/>
    </row>
    <row r="69" spans="20:23" x14ac:dyDescent="0.25">
      <c r="T69" s="5">
        <f>IF(($C$13+$C$21+$C$18)&gt;1400,1,0)</f>
        <v>0</v>
      </c>
      <c r="U69" s="5">
        <f>IF(($C$13+$C$21+$C$18)&gt;1050,IF(($C$13+$C$21+$C$18)&lt;=1125,1,IF(($C$13+$C$21+$C$18)&lt;=1200,2,IF(($C$13+$C$21+$C$18)&lt;=1275,3,IF(($C$13+$C$21+$C$18)&lt;=1350,4,0)))),0)</f>
        <v>0</v>
      </c>
      <c r="V69" s="5"/>
      <c r="W69" s="5"/>
    </row>
    <row r="70" spans="20:23" x14ac:dyDescent="0.25">
      <c r="T70" s="5">
        <f>IF(($C$13+$C$21+$C$18)&gt;1750,1,0)</f>
        <v>0</v>
      </c>
      <c r="U70" s="5">
        <f>IF(($C$13+$C$21+$C$18)&gt;1400,IF(($C$13+$C$21+$C$18)&lt;=1475,1,IF(($C$13+$C$21+$C$18)&lt;=1550,2,IF(($C$13+$C$21+$C$18)&lt;=1625,3,IF(($C$13+$C$21+$C$18)&lt;=1700,4,0)))),0)</f>
        <v>0</v>
      </c>
      <c r="V70" s="5"/>
      <c r="W70" s="5"/>
    </row>
    <row r="71" spans="20:23" x14ac:dyDescent="0.25">
      <c r="T71" s="5">
        <f>IF(($C$13+$C$21+$C$18)&gt;2100,1,0)</f>
        <v>0</v>
      </c>
      <c r="U71" s="5">
        <f>IF(($C$13+$C$21+$C$18)&gt;1750,IF(($C$13+$C$21+$C$18)&lt;=1825,1,IF(($C$13+$C$21+$C$18)&lt;=1900,2,IF(($C$13+$C$21+$C$18)&lt;=1975,3,IF(($C$13+$C$21+$C$18)&lt;=2050,4,0)))),0)</f>
        <v>0</v>
      </c>
      <c r="V71" s="5"/>
      <c r="W71" s="5"/>
    </row>
    <row r="72" spans="20:23" x14ac:dyDescent="0.25">
      <c r="T72" s="5">
        <f>IF(($C$13+$C$21+$C$18)&gt;2450,1,0)</f>
        <v>0</v>
      </c>
      <c r="U72" s="5">
        <f>IF(($C$13+$C$21+$C$18)&gt;2100,IF(($C$13+$C$21+$C$18)&lt;=2175,1,IF(($C$13+$C$21+$C$18)&lt;=2250,2,IF(($C$13+$C$21+$C$18)&lt;=2325,3,IF(($C$13+$C$21+$C$18)&lt;=2400,4,0)))),0)</f>
        <v>0</v>
      </c>
      <c r="V72" s="5"/>
      <c r="W72" s="5"/>
    </row>
    <row r="73" spans="20:23" x14ac:dyDescent="0.25">
      <c r="T73" s="5">
        <f>IF(($C$13+$C$21+$C$18)&gt;2800,1,0)</f>
        <v>0</v>
      </c>
      <c r="U73" s="5">
        <f>IF(($C$13+$C$21+$C$18)&gt;2450,IF(($C$13+$C$21+$C$18)&lt;=2525,1,IF(($C$13+$C$21+$C$18)&lt;=2600,2,IF(($C$13+$C$21+$C$18)&lt;=2675,3,IF(($C$13+$C$21+$C$18)&lt;=2750,4,0)))),0)</f>
        <v>0</v>
      </c>
      <c r="V73" s="5"/>
      <c r="W73" s="5"/>
    </row>
    <row r="74" spans="20:23" x14ac:dyDescent="0.25">
      <c r="T74" s="5">
        <f>IF(($C$13+$C$21+$C$18)&gt;3150,1,0)</f>
        <v>0</v>
      </c>
      <c r="U74" s="5">
        <f>IF(($C$13+$C$21+$C$18)&gt;2800,IF(($C$13+$C$21+$C$18)&lt;=2875,1,IF(($C$13+$C$21+$C$18)&lt;=2950,2,IF(($C$13+$C$21+$C$18)&lt;=3025,3,IF(($C$13+$C$21+$C$18)&lt;=3100,4,0)))),0)</f>
        <v>0</v>
      </c>
      <c r="V74" s="5"/>
      <c r="W74" s="5"/>
    </row>
    <row r="75" spans="20:23" x14ac:dyDescent="0.25">
      <c r="T75" s="5">
        <f>IF(($C$13+$C$21+$C$18)&gt;3500,1,0)</f>
        <v>0</v>
      </c>
      <c r="U75" s="5">
        <f>IF(($C$13+$C$21+$C$18)&gt;3150,IF(($C$13+$C$21+$C$18)&lt;=3225,1,IF(($C$13+$C$21+$C$18)&lt;=3300,2,IF(($C$13+$C$21+$C$18)&lt;=3375,3,IF(($C$13+$C$21+$C$18)&lt;=3450,4,0)))),0)</f>
        <v>0</v>
      </c>
      <c r="V75" s="5"/>
      <c r="W75" s="5"/>
    </row>
    <row r="76" spans="20:23" x14ac:dyDescent="0.25">
      <c r="T76" s="5">
        <f>IF(($C$13+$C$21+$C$18)&gt;3850,1,0)</f>
        <v>0</v>
      </c>
      <c r="U76" s="5">
        <f>IF(($C$13+$C$21+$C$18)&gt;3500,IF(($C$13+$C$21+$C$18)&lt;=3575,1,IF(($C$13+$C$21+$C$18)&lt;=3650,2,IF(($C$13+$C$21+$C$18)&lt;=3725,3,IF(($C$13+$C$21+$C$18)&lt;=3800,4,0)))),0)</f>
        <v>0</v>
      </c>
      <c r="V76" s="5"/>
      <c r="W76" s="5"/>
    </row>
    <row r="77" spans="20:23" x14ac:dyDescent="0.25">
      <c r="T77" s="5">
        <f>IF(($C$13+$C$21+$C$18)&gt;4200,1,0)</f>
        <v>0</v>
      </c>
      <c r="U77" s="5">
        <f>IF(($C$13+$C$21+$C$18)&gt;3850,IF(($C$13+$C$21+$C$18)&lt;=3925,1,IF(($C$13+$C$21+$C$18)&lt;=4000,2,IF(($C$13+$C$21+$C$18)&lt;=4075,3,IF(($C$13+$C$21+$C$18)&lt;=4150,4,0)))),0)</f>
        <v>0</v>
      </c>
      <c r="V77" s="5"/>
      <c r="W77" s="5"/>
    </row>
    <row r="78" spans="20:23" x14ac:dyDescent="0.25">
      <c r="T78" s="5">
        <f>IF(($C$13+$C$21+$C$18)&gt;4550,1,0)</f>
        <v>0</v>
      </c>
      <c r="U78" s="5">
        <f>IF(($C$13+$C$21+$C$18)&gt;4200,IF(($C$13+$C$21+$C$18)&lt;=4275,1,IF(($C$13+$C$21+$C$18)&lt;=4350,2,IF(($C$13+$C$21+$C$18)&lt;=4425,3,IF(($C$13+$C$21+$C$18)&lt;=4500,4,0)))),0)</f>
        <v>0</v>
      </c>
      <c r="V78" s="5"/>
      <c r="W78" s="5"/>
    </row>
    <row r="79" spans="20:23" x14ac:dyDescent="0.25">
      <c r="T79" s="5">
        <f>IF(($C$13+$C$21+$C$18)&gt;4900,1,0)</f>
        <v>0</v>
      </c>
      <c r="U79" s="5">
        <f>IF(($C$13+$C$21+$C$18)&gt;4550,IF(($C$13+$C$21+$C$18)&lt;=4625,1,IF(($C$13+$C$21+$C$18)&lt;=4700,2,IF(($C$13+$C$21+$C$18)&lt;=4775,3,IF(($C$13+$C$21+$C$18)&lt;=4850,4,0)))),0)</f>
        <v>0</v>
      </c>
      <c r="V79" s="5"/>
      <c r="W79" s="5"/>
    </row>
    <row r="80" spans="20:23" x14ac:dyDescent="0.25">
      <c r="T80" s="5">
        <f>IF(($C$13+$C$21+$C$18)&gt;5250,1,0)</f>
        <v>0</v>
      </c>
      <c r="U80" s="5">
        <f>IF(($C$13+$C$21+$C$18)&gt;4900,IF(($C$13+$C$21+$C$18)&lt;=4975,1,IF(($C$13+$C$21+$C$18)&lt;=5050,2,IF(($C$13+$C$21+$C$18)&lt;=5125,3,IF(($C$13+$C$21+$C$18)&lt;=5200,4,0)))),0)</f>
        <v>0</v>
      </c>
      <c r="V80" s="5"/>
      <c r="W80" s="5"/>
    </row>
    <row r="81" spans="20:23" x14ac:dyDescent="0.25">
      <c r="T81" s="5">
        <f>IF(($C$13+$C$21+$C$18)&gt;5600,1,0)</f>
        <v>0</v>
      </c>
      <c r="U81" s="5">
        <f>IF(($C$13+$C$21+$C$18)&gt;5250,IF(($C$13+$C$21+$C$18)&lt;=5325,1,IF(($C$13+$C$21+$C$18)&lt;=5400,2,IF(($C$13+$C$21+$C$18)&lt;=5475,3,IF(($C$13+$C$21+$C$18)&lt;=5550,4,0)))),0)</f>
        <v>0</v>
      </c>
      <c r="V81" s="5"/>
      <c r="W81" s="5"/>
    </row>
    <row r="82" spans="20:23" x14ac:dyDescent="0.25">
      <c r="T82" s="5">
        <f>IF(($C$13+$C$21+$C$18)&gt;5950,1,0)</f>
        <v>0</v>
      </c>
      <c r="U82" s="5">
        <f>IF(($C$13+$C$21+$C$18)&gt;5600,IF(($C$13+$C$21+$C$18)&lt;=5675,1,IF(($C$13+$C$21+$C$18)&lt;=5750,2,IF(($C$13+$C$21+$C$18)&lt;=5825,3,IF(($C$13+$C$21+$C$18)&lt;=5900,4,0)))),0)</f>
        <v>0</v>
      </c>
      <c r="V82" s="5"/>
      <c r="W82" s="5"/>
    </row>
    <row r="83" spans="20:23" x14ac:dyDescent="0.25">
      <c r="T83" s="5">
        <f>IF(($C$13+$C$21+$C$18)&gt;6300,1,0)</f>
        <v>0</v>
      </c>
      <c r="U83" s="5">
        <f>IF(($C$13+$C$21+$C$18)&gt;5950,IF(($C$13+$C$21+$C$18)&lt;=6025,1,IF(($C$13+$C$21+$C$18)&lt;=6100,2,IF(($C$13+$C$21+$C$18)&lt;=6175,3,IF(($C$13+$C$21+$C$18)&lt;=6250,4,0)))),0)</f>
        <v>0</v>
      </c>
      <c r="V83" s="5"/>
      <c r="W83" s="5"/>
    </row>
    <row r="84" spans="20:23" x14ac:dyDescent="0.25">
      <c r="T84" s="5">
        <f>IF(($C$13+$C$21+$C$18)&gt;6650,1,0)</f>
        <v>0</v>
      </c>
      <c r="U84" s="5">
        <f>IF(($C$13+$C$21+$C$18)&gt;6300,IF(($C$13+$C$21+$C$18)&lt;=6375,1,IF(($C$13+$C$21+$C$18)&lt;=6450,2,IF(($C$13+$C$21+$C$18)&lt;=6525,3,IF(($C$13+$C$21+$C$18)&lt;=6600,4,0)))),0)</f>
        <v>0</v>
      </c>
      <c r="V84" s="5"/>
      <c r="W84" s="5"/>
    </row>
    <row r="85" spans="20:23" x14ac:dyDescent="0.25">
      <c r="T85" s="5">
        <f>IF(($C$13+$C$21+$C$18)&gt;7000,1,0)</f>
        <v>0</v>
      </c>
      <c r="U85" s="5">
        <f>IF(($C$13+$C$21+$C$18)&gt;6650,IF(($C$13+$C$21+$C$18)&lt;=6725,1,IF(($C$13+$C$21+$C$18)&lt;=6800,2,IF(($C$13+$C$21+$C$18)&lt;=6875,3,IF(($C$13+$C$21+$C$18)&lt;=6950,4,0)))),0)</f>
        <v>0</v>
      </c>
      <c r="V85" s="5"/>
      <c r="W85" s="5"/>
    </row>
    <row r="86" spans="20:23" x14ac:dyDescent="0.25">
      <c r="T86" s="5" t="s">
        <v>88</v>
      </c>
      <c r="U86" s="5" t="s">
        <v>89</v>
      </c>
      <c r="V86" s="5" t="s">
        <v>90</v>
      </c>
      <c r="W86" s="5" t="s">
        <v>91</v>
      </c>
    </row>
    <row r="87" spans="20:23" x14ac:dyDescent="0.25">
      <c r="T87" s="5">
        <f>IF($C$24&gt;740,1,0)</f>
        <v>0</v>
      </c>
      <c r="U87" s="5">
        <f>IF($C$24&lt;=185,1,IF($C$24&lt;=370,2,IF($C$24&lt;=555,2,IF($C$24&lt;=740,4,0))))</f>
        <v>1</v>
      </c>
      <c r="V87" s="5">
        <f>SUM(T87:T93)</f>
        <v>0</v>
      </c>
      <c r="W87" s="5">
        <f>SUM(U87:U93)</f>
        <v>1</v>
      </c>
    </row>
    <row r="88" spans="20:23" x14ac:dyDescent="0.25">
      <c r="T88" s="5">
        <f>IF($C$24&gt;1640,1,0)</f>
        <v>0</v>
      </c>
      <c r="U88" s="5">
        <f>IF($C$24&gt;900,IF($C$24&lt;1085,1,IF($C$24&lt;=1270,2,IF($C$24&lt;=1455,3,IF($C$24&lt;=1640,4,0)))),0)</f>
        <v>0</v>
      </c>
      <c r="V88" s="5"/>
      <c r="W88" s="5"/>
    </row>
    <row r="89" spans="20:23" x14ac:dyDescent="0.25">
      <c r="T89" s="5">
        <f>IF($C$24&gt;2540,1,0)</f>
        <v>0</v>
      </c>
      <c r="U89" s="5">
        <f>IF($C$24&gt;1800,IF($C$24&lt;=1985,1,IF($C$24&lt;=2170,2,IF($C$24&lt;=2355,3,IF($C$24&lt;=2540,4,0)))),0)</f>
        <v>0</v>
      </c>
      <c r="V89" s="5"/>
      <c r="W89" s="5"/>
    </row>
    <row r="90" spans="20:23" x14ac:dyDescent="0.25">
      <c r="T90" s="5">
        <f>IF($C$24&gt;3440,1,0)</f>
        <v>0</v>
      </c>
      <c r="U90" s="5">
        <f>IF($C$24&gt;2700,IF($C$24&lt;=2885,1,IF($C$24&lt;=3070,2,IF($C$24&lt;=3255,3,IF($C$24&lt;=3440,4,0)))),0)</f>
        <v>0</v>
      </c>
      <c r="V90" s="5"/>
      <c r="W90" s="5"/>
    </row>
    <row r="91" spans="20:23" x14ac:dyDescent="0.25">
      <c r="T91" s="5">
        <f>IF($C$24&gt;4340,1,0)</f>
        <v>0</v>
      </c>
      <c r="U91" s="5">
        <f>IF($C$24&gt;3600,IF($C$24&lt;=3785,1,IF($C$24&lt;=3970,2,IF($C$24&lt;=4155,3,IF($C$24&lt;=4340,4,0)))),0)</f>
        <v>0</v>
      </c>
      <c r="V91" s="5"/>
      <c r="W91" s="5"/>
    </row>
    <row r="92" spans="20:23" x14ac:dyDescent="0.25">
      <c r="T92" s="5">
        <f>IF($C$24&gt;5240,1,0)</f>
        <v>0</v>
      </c>
      <c r="U92" s="5">
        <f>IF($C$24&gt;4500,IF($C$24&lt;=4685,1,IF($C$24&lt;=4870,2,IF($C$24&lt;=5055,3,IF($C$24&lt;=5240,4,0)))),0)</f>
        <v>0</v>
      </c>
      <c r="V92" s="5"/>
      <c r="W92" s="5"/>
    </row>
    <row r="93" spans="20:23" x14ac:dyDescent="0.25">
      <c r="T93" s="5">
        <f>IF($C$24&gt;6140,1,0)</f>
        <v>0</v>
      </c>
      <c r="U93" s="5">
        <f>IF($C$24&gt;5400,IF($C$24&lt;=5585,1,IF($C$24&lt;=5770,2,IF($C$24&lt;=5955,3,IF($C$24&lt;=6140,4,0)))),0)</f>
        <v>0</v>
      </c>
      <c r="V93" s="5"/>
      <c r="W93" s="5"/>
    </row>
    <row r="94" spans="20:23" x14ac:dyDescent="0.25">
      <c r="T94" s="5"/>
      <c r="U94" s="5"/>
      <c r="V94" s="5"/>
      <c r="W94" s="5"/>
    </row>
    <row r="95" spans="20:23" x14ac:dyDescent="0.25">
      <c r="T95" s="5" t="s">
        <v>114</v>
      </c>
      <c r="U95" s="5" t="s">
        <v>115</v>
      </c>
      <c r="V95" s="5" t="s">
        <v>116</v>
      </c>
      <c r="W95" s="5"/>
    </row>
    <row r="96" spans="20:23" x14ac:dyDescent="0.25">
      <c r="T96" s="5">
        <f>IF($C$14&gt;810,1,0)</f>
        <v>0</v>
      </c>
      <c r="U96" s="5">
        <f>IF($C$14&gt;360,IF($C$14&lt;=450,1,0),0)</f>
        <v>0</v>
      </c>
      <c r="V96" s="5" cm="1">
        <f t="array" ref="V96">IF($C$14=0,0,IF($C$14&lt;=450,_xlfn.IFS($C$14&lt;=90,1,$C$14&lt;=180,2,$C$14&lt;=270,3,$C$14&lt;=360,4,$C$14&gt;360,0),IF($C$14&lt;=900,_xlfn.IFS($C$14&lt;=540,1,$C$14&lt;=630,2,$C$14&lt;=720,3,$C$14&lt;=810,4,$C$14&gt;810,0),0)))</f>
        <v>3</v>
      </c>
      <c r="W96" s="5"/>
    </row>
    <row r="97" spans="20:23" x14ac:dyDescent="0.25">
      <c r="T97" s="5">
        <f>IF($C$14&gt;1710,1,0)</f>
        <v>0</v>
      </c>
      <c r="U97" s="5">
        <f>IF($C$14&gt;1260,IF($C$14&lt;=1350,1,0),0)</f>
        <v>0</v>
      </c>
      <c r="V97" s="5" cm="1">
        <f t="array" ref="V97">IF($C$14=0,0,IF($C$14&lt;=1350,_xlfn.IFS($C$14&lt;=990,1,$C$14&lt;=1080,2,$C$14&lt;=1170,3,$C$14&lt;=1260,4,$C$14&gt;1260,0),IF($C$14&lt;=1800,_xlfn.IFS($C$14&lt;=1440,1,$C$14&lt;=1530,2,$C$14&lt;=1620,3,$C$14&lt;=1710,4,$C$14&gt;1710,0),0)))</f>
        <v>1</v>
      </c>
      <c r="W97" s="5"/>
    </row>
    <row r="98" spans="20:23" x14ac:dyDescent="0.25">
      <c r="T98" s="5" t="s">
        <v>117</v>
      </c>
      <c r="U98" s="5" t="s">
        <v>118</v>
      </c>
      <c r="V98" s="5" t="s">
        <v>119</v>
      </c>
      <c r="W98" s="5"/>
    </row>
    <row r="99" spans="20:23" x14ac:dyDescent="0.25">
      <c r="T99" s="5">
        <f>SUM(T96:T97)</f>
        <v>0</v>
      </c>
      <c r="U99" s="5">
        <f>SUM(U96:U97)</f>
        <v>0</v>
      </c>
      <c r="V99" s="5">
        <f>SUM(V96:V97)</f>
        <v>4</v>
      </c>
      <c r="W99" s="5"/>
    </row>
    <row r="100" spans="20:23" x14ac:dyDescent="0.25">
      <c r="T100" s="5"/>
      <c r="U100" s="5"/>
      <c r="V100" s="5"/>
      <c r="W100" s="5"/>
    </row>
  </sheetData>
  <sheetProtection sheet="1" objects="1" scenarios="1"/>
  <mergeCells count="4">
    <mergeCell ref="B12:C12"/>
    <mergeCell ref="B16:C16"/>
    <mergeCell ref="G12:H12"/>
    <mergeCell ref="A1:XFD1"/>
  </mergeCells>
  <dataValidations count="9">
    <dataValidation type="list" allowBlank="1" showInputMessage="1" showErrorMessage="1" sqref="L3" xr:uid="{76ED4B3A-887F-4774-8EC9-49B8B694DE0A}">
      <formula1>$T$3:$T$4</formula1>
    </dataValidation>
    <dataValidation type="list" allowBlank="1" showInputMessage="1" showErrorMessage="1" sqref="N3" xr:uid="{7EF5C75E-8D77-4C41-9DA9-2092130980E0}">
      <formula1>$T$29:$T$30</formula1>
    </dataValidation>
    <dataValidation type="list" allowBlank="1" showInputMessage="1" showErrorMessage="1" sqref="L6" xr:uid="{071F2983-AFBF-4151-B543-E63E65305528}">
      <formula1>$T$12:$T$13</formula1>
    </dataValidation>
    <dataValidation type="list" allowBlank="1" showInputMessage="1" showErrorMessage="1" sqref="M6" xr:uid="{23CBED98-8E92-4908-8B8A-A7A35F8E6679}">
      <formula1>$T$7:$T$9</formula1>
    </dataValidation>
    <dataValidation type="list" allowBlank="1" showInputMessage="1" showErrorMessage="1" sqref="J3" xr:uid="{C4121D94-258C-4762-A10B-A5564EAEC87F}">
      <formula1>$T$46:$T$48</formula1>
    </dataValidation>
    <dataValidation type="list" allowBlank="1" showInputMessage="1" showErrorMessage="1" sqref="M3" xr:uid="{EAD166DA-D08D-4E5A-A06D-159CAE536D91}">
      <formula1>$T$63</formula1>
    </dataValidation>
    <dataValidation type="list" allowBlank="1" showInputMessage="1" showErrorMessage="1" sqref="K3" xr:uid="{B67C92C1-1ED0-478B-B490-AE2D4DA0D638}">
      <formula1>$U$3:$U$5</formula1>
    </dataValidation>
    <dataValidation type="list" allowBlank="1" showInputMessage="1" showErrorMessage="1" sqref="J6" xr:uid="{867FB922-170F-4055-AD5D-89DA195EAAF5}">
      <formula1>$U$8:$U$9</formula1>
    </dataValidation>
    <dataValidation type="list" allowBlank="1" showInputMessage="1" showErrorMessage="1" sqref="K6" xr:uid="{7A5E520D-2102-4D17-8609-45EFFAE3E7B9}">
      <formula1>$U$12:$U$13</formula1>
    </dataValidation>
  </dataValidation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86A8CA-67AC-4108-9C8A-EEBDB42C4605}">
  <dimension ref="B1:V75"/>
  <sheetViews>
    <sheetView zoomScale="80" zoomScaleNormal="80" workbookViewId="0">
      <selection activeCell="B43" sqref="B43"/>
    </sheetView>
  </sheetViews>
  <sheetFormatPr defaultColWidth="8.85546875" defaultRowHeight="15" x14ac:dyDescent="0.25"/>
  <cols>
    <col min="2" max="2" width="60.7109375" customWidth="1"/>
    <col min="3" max="3" width="18.7109375" customWidth="1"/>
    <col min="4" max="4" width="8.7109375" customWidth="1"/>
    <col min="5" max="5" width="25.7109375" customWidth="1"/>
    <col min="6" max="6" width="8.7109375" customWidth="1"/>
    <col min="7" max="7" width="31.7109375" customWidth="1"/>
    <col min="8" max="8" width="13.7109375" customWidth="1"/>
    <col min="10" max="10" width="35.28515625" bestFit="1" customWidth="1"/>
    <col min="11" max="11" width="26.7109375" bestFit="1" customWidth="1"/>
    <col min="12" max="12" width="15.85546875" bestFit="1" customWidth="1"/>
    <col min="13" max="13" width="26.7109375" bestFit="1" customWidth="1"/>
    <col min="14" max="14" width="35.28515625" bestFit="1" customWidth="1"/>
    <col min="15" max="15" width="23.42578125" bestFit="1" customWidth="1"/>
    <col min="16" max="16" width="12.5703125" bestFit="1" customWidth="1"/>
    <col min="17" max="17" width="15.85546875" bestFit="1" customWidth="1"/>
    <col min="19" max="19" width="38.85546875" hidden="1" customWidth="1"/>
    <col min="20" max="20" width="20.85546875" hidden="1" customWidth="1"/>
    <col min="21" max="21" width="18.7109375" hidden="1" customWidth="1"/>
    <col min="22" max="22" width="24.140625" hidden="1" customWidth="1"/>
  </cols>
  <sheetData>
    <row r="1" spans="2:22" s="21" customFormat="1" ht="219.95" customHeight="1" x14ac:dyDescent="0.25"/>
    <row r="2" spans="2:22" x14ac:dyDescent="0.25">
      <c r="B2" s="6" t="s">
        <v>0</v>
      </c>
      <c r="G2" s="6" t="s">
        <v>1</v>
      </c>
      <c r="J2" s="7" t="s">
        <v>2</v>
      </c>
      <c r="K2" s="7" t="s">
        <v>3</v>
      </c>
      <c r="L2" s="7" t="s">
        <v>92</v>
      </c>
      <c r="M2" s="7" t="s">
        <v>4</v>
      </c>
      <c r="S2" s="5" t="s">
        <v>95</v>
      </c>
      <c r="T2" s="5" t="s">
        <v>3</v>
      </c>
      <c r="U2" s="5"/>
      <c r="V2" s="5"/>
    </row>
    <row r="3" spans="2:22" x14ac:dyDescent="0.25">
      <c r="C3" s="8" t="s">
        <v>11</v>
      </c>
      <c r="E3" s="9" t="s">
        <v>12</v>
      </c>
      <c r="H3" s="8" t="s">
        <v>11</v>
      </c>
      <c r="J3" s="2" t="s">
        <v>72</v>
      </c>
      <c r="K3" s="2" t="s">
        <v>15</v>
      </c>
      <c r="L3" s="2" t="s">
        <v>96</v>
      </c>
      <c r="M3" s="2" t="s">
        <v>15</v>
      </c>
      <c r="S3" s="5" t="s">
        <v>96</v>
      </c>
      <c r="T3" s="5" t="s">
        <v>14</v>
      </c>
      <c r="U3" s="5"/>
      <c r="V3" s="5"/>
    </row>
    <row r="4" spans="2:22" x14ac:dyDescent="0.25">
      <c r="B4" s="10" t="s">
        <v>125</v>
      </c>
      <c r="C4" s="1">
        <v>12</v>
      </c>
      <c r="E4" s="16">
        <f>C4*12</f>
        <v>144</v>
      </c>
      <c r="G4" s="10" t="s">
        <v>19</v>
      </c>
      <c r="H4" s="1">
        <v>10</v>
      </c>
      <c r="S4" s="5" t="s">
        <v>120</v>
      </c>
      <c r="T4" s="5" t="s">
        <v>20</v>
      </c>
      <c r="U4" s="5"/>
      <c r="V4" s="5"/>
    </row>
    <row r="5" spans="2:22" x14ac:dyDescent="0.25">
      <c r="B5" s="10" t="s">
        <v>126</v>
      </c>
      <c r="C5" s="1">
        <v>30</v>
      </c>
      <c r="E5" s="9" t="s">
        <v>21</v>
      </c>
      <c r="G5" s="10" t="s">
        <v>22</v>
      </c>
      <c r="H5" s="1">
        <v>3</v>
      </c>
      <c r="J5" s="7" t="s">
        <v>5</v>
      </c>
      <c r="K5" s="7" t="s">
        <v>6</v>
      </c>
      <c r="L5" s="7" t="s">
        <v>7</v>
      </c>
      <c r="M5" s="7" t="s">
        <v>8</v>
      </c>
      <c r="S5" s="5"/>
      <c r="T5" s="5" t="s">
        <v>15</v>
      </c>
      <c r="U5" s="5"/>
      <c r="V5" s="5"/>
    </row>
    <row r="6" spans="2:22" x14ac:dyDescent="0.25">
      <c r="B6" s="12" t="s">
        <v>127</v>
      </c>
      <c r="C6" s="13"/>
      <c r="E6" s="16">
        <f>C5*12</f>
        <v>360</v>
      </c>
      <c r="G6" s="10" t="s">
        <v>23</v>
      </c>
      <c r="H6" s="1">
        <v>7</v>
      </c>
      <c r="J6" s="2" t="s">
        <v>15</v>
      </c>
      <c r="K6" s="2" t="s">
        <v>16</v>
      </c>
      <c r="L6" s="2" t="s">
        <v>17</v>
      </c>
      <c r="M6" s="2" t="s">
        <v>18</v>
      </c>
      <c r="S6" s="5" t="s">
        <v>24</v>
      </c>
      <c r="T6" s="5"/>
      <c r="U6" s="5"/>
      <c r="V6" s="5"/>
    </row>
    <row r="7" spans="2:22" x14ac:dyDescent="0.25">
      <c r="B7" s="10" t="s">
        <v>25</v>
      </c>
      <c r="C7" s="3" cm="1">
        <f t="array" ref="C7">IF($K$6="Parallel (To Home)",IF($C$5&gt;=21,24,_xlfn.IFS($C$5&lt;=4,12,$C$5&lt;=5,12,$C$5&lt;=6,12,$C$5&lt;=7,16,$C$5&lt;=8,16,$C$5&lt;=9,20,$C$5&lt;=10,12,$C$5&lt;=11,12,$C$5&lt;=12,12,$C$5&lt;=16,16,$C$5&lt;=20,20)),IF($C$4&gt;=21,24,_xlfn.IFS($C$4&lt;=4,12,$C$4&lt;=5,12,$C$4&lt;=6,12,$C$4&lt;=7,16,$C$4&lt;=8,16,$C$4&lt;=9,20,$C$4&lt;=10,12,$C$4&lt;=11,12,$C$4&lt;=12,12,$C$4&lt;=16,16,$C$4&lt;=20,20)))</f>
        <v>12</v>
      </c>
      <c r="E7" s="9" t="s">
        <v>26</v>
      </c>
      <c r="G7" s="10" t="s">
        <v>27</v>
      </c>
      <c r="H7" s="1">
        <v>11</v>
      </c>
      <c r="S7" s="5" t="s">
        <v>28</v>
      </c>
      <c r="T7" s="5" t="s">
        <v>93</v>
      </c>
      <c r="U7" s="5"/>
      <c r="V7" s="5"/>
    </row>
    <row r="8" spans="2:22" x14ac:dyDescent="0.25">
      <c r="B8" s="10" t="s">
        <v>29</v>
      </c>
      <c r="C8" s="3">
        <f>IF($K$6="Parallel (to Home)",IF($C$5&lt;=12,$V$52,$T$58),IF($C$4&lt;=12,$V$51,$T$58))</f>
        <v>63</v>
      </c>
      <c r="E8" s="16">
        <f>C5*C4</f>
        <v>360</v>
      </c>
      <c r="S8" s="5" t="s">
        <v>17</v>
      </c>
      <c r="T8" s="5" t="s">
        <v>20</v>
      </c>
      <c r="U8" s="5"/>
      <c r="V8" s="5"/>
    </row>
    <row r="9" spans="2:22" x14ac:dyDescent="0.25">
      <c r="B9" s="10" t="s">
        <v>30</v>
      </c>
      <c r="C9" s="3">
        <f>IF($K$6="Parallel (To Home)",$T$55,$T$54)</f>
        <v>0</v>
      </c>
      <c r="G9" s="10" t="s">
        <v>31</v>
      </c>
      <c r="H9" s="3" cm="1">
        <f t="array" ref="H9">_xlfn.IFS($H$5&lt;=3,24,$H$5&lt;=4,24,$H$5&lt;=5,20,$H$5&lt;=6,24)</f>
        <v>24</v>
      </c>
      <c r="S9" s="5" t="s">
        <v>32</v>
      </c>
      <c r="T9" s="5" t="s">
        <v>15</v>
      </c>
      <c r="U9" s="5"/>
      <c r="V9" s="5"/>
    </row>
    <row r="10" spans="2:22" x14ac:dyDescent="0.25">
      <c r="B10" s="10" t="s">
        <v>33</v>
      </c>
      <c r="C10" s="3">
        <f>IF($K$6="Parallel (To Home)",IF($S$23=0,0,IF($S$23&lt;=12,$V$55,$T$60)),IF($T$23=0,0,IF($T$23&lt;=12,$V$54,$T$60)))</f>
        <v>0</v>
      </c>
      <c r="G10" s="10" t="str">
        <f>_xlfn.CONCAT(J3," ","Boards Needed")</f>
        <v>I.Dekk S4S Boards Needed</v>
      </c>
      <c r="H10" s="3">
        <f>ROUNDUP((($H$4*12)/$H$6)*(IF($J$3="OPTIMA Dekk",ROUNDUP(($H$7/5.5),0),IF($J$3="I.Dekk S4S",ROUNDUP(($H$7/5.5),0),ROUNDUP(($H$7/5.5),0))))/ROUNDDOWN(($H$9/$H$5),0),0)</f>
        <v>5</v>
      </c>
      <c r="S10" s="5"/>
      <c r="T10" s="5"/>
      <c r="U10" s="5"/>
      <c r="V10" s="5"/>
    </row>
    <row r="11" spans="2:22" x14ac:dyDescent="0.25">
      <c r="B11" s="14"/>
      <c r="S11" s="5" t="s">
        <v>35</v>
      </c>
      <c r="T11" s="5"/>
      <c r="U11" s="5"/>
      <c r="V11" s="5"/>
    </row>
    <row r="12" spans="2:22" x14ac:dyDescent="0.25">
      <c r="B12" s="10" t="s">
        <v>37</v>
      </c>
      <c r="C12" s="3">
        <f>IF($K$6="Parallel (To Home)",ROUNDUP(($C$4/12),0)*$S$33,ROUNDUP(($C$5/12),0)*$T$33)</f>
        <v>0</v>
      </c>
      <c r="G12" s="20" t="s">
        <v>36</v>
      </c>
      <c r="H12" s="20"/>
      <c r="S12" s="5" t="s">
        <v>16</v>
      </c>
      <c r="T12" s="5"/>
      <c r="U12" s="5"/>
      <c r="V12" s="5"/>
    </row>
    <row r="13" spans="2:22" x14ac:dyDescent="0.25">
      <c r="B13" s="10" t="s">
        <v>39</v>
      </c>
      <c r="C13" s="3">
        <f>ROUNDUP(IF($C$12=0,0,IF($K$6="Perpendicular (To Home)",IF(($C$4-$T$57)&gt;($T$57*3),(4*$S$26*2),IF(($C$4-$T$57)&gt;($T$57*2),(3*$S$26*2),IF(($C$4-$T$57)&gt;($T$57),(2*$S$26*2),IF(($C$4-$T$57)&gt;0,($S$26*2),0)))),IF(($C$5-$T$57)&gt;($T$57*3),(4*$S$26*2),IF(($C$5-$T$57)&gt;($T$57*2),(3*$S$26*2),IF(($C$5-$T$57)&gt;($T$57),(2*$S$26*2),IF(($C$5-$T$57)&gt;0,($S$26*2),0)))))+20),0)</f>
        <v>0</v>
      </c>
      <c r="G13" s="10" t="s">
        <v>38</v>
      </c>
      <c r="H13" s="3">
        <f>ROUNDUP(ROUNDUP(($H$4*12)/$H$6,0)/ROUNDUP((12/$H$5),0)/IF($H$6&lt;=6,2,1),0)</f>
        <v>5</v>
      </c>
      <c r="S13" s="5" t="s">
        <v>103</v>
      </c>
      <c r="T13" s="5"/>
      <c r="U13" s="5"/>
      <c r="V13" s="5"/>
    </row>
    <row r="14" spans="2:22" x14ac:dyDescent="0.25">
      <c r="C14" s="8"/>
      <c r="G14" s="10" t="s">
        <v>40</v>
      </c>
      <c r="H14" s="3">
        <f>ROUNDUP((($H$5*12)/12)*3*ROUNDUP(($H$4*12)/$H$6,0)*IF($H$6&lt;=6,2,1)+20,0)</f>
        <v>182</v>
      </c>
      <c r="S14" s="5"/>
      <c r="T14" s="5"/>
      <c r="U14" s="5"/>
      <c r="V14" s="5"/>
    </row>
    <row r="15" spans="2:22" x14ac:dyDescent="0.25">
      <c r="B15" s="20" t="s">
        <v>36</v>
      </c>
      <c r="C15" s="20"/>
      <c r="S15" s="5"/>
      <c r="T15" s="5"/>
      <c r="U15" s="5"/>
      <c r="V15" s="5"/>
    </row>
    <row r="16" spans="2:22" x14ac:dyDescent="0.25">
      <c r="B16" s="10" t="s">
        <v>121</v>
      </c>
      <c r="C16" s="3">
        <f>IF($K$6="Perpendicular (To Home)",IF($L$3="Tongue &amp; Groove",((ROUNDUP((($C$5*12)/5.75),0)*$U$37)+(ROUNDUP((($C$5*12)/5.75),0)*$U$38)+(ROUNDUP((($C$5*12)/5.75),0)*$U$39)+(ROUNDUP((($C$5*12)/5.75),0)*$U$40)+(ROUNDUP((($C$5*12)/5.75),0)*$U$41)+(ROUNDUP((($C$5*12)/5.75),0)*$U$42)+(ROUNDUP((($C$5*12)/5.75),0)*$U$43))+(($T$58+$T$60)*4),((ROUNDUP((($C$5*12)/5.5),0)*$U$37*2)+(ROUNDUP((($C$5*12)/5.5),0)*$U$38*2)+(ROUNDUP((($C$5*12)/5.5),0)*$U$39*2)+(ROUNDUP((($C$5*12)/5.5),0)*$U$40*2)+(ROUNDUP((($C$5*12)/5.5),0)*$U$41*2)+(ROUNDUP((($C$5*12)/5.5),0)*$U$42*2)+(ROUNDUP((($C$5*12)/5.5),0)*$U$43*2))+(($T$58+$T$60)*6)),IF($L$3="Tongue &amp; Groove",((ROUNDUP((($C$4*12)/5.75),0)*$T$37)+(ROUNDUP((($C$4*12)/5.75),0)*$T$38)+(ROUNDUP((($C$4*12)/5.75),0)*$T$39)+(ROUNDUP((($C$4*12)/5.75),0)*$T$40)+(ROUNDUP((($C$4*12)/5.75),0)*$T$41)+(ROUNDUP((($C$4*12)/5.75),0)*$T$42)+(ROUNDUP((($C$4*12)/5.75),0)*$T$43))+(($T$58+$T$60)*4),((ROUNDUP((($C$4*12)/5.5),0)*$T$37*2)+(ROUNDUP((($C$4*12)/5.5),0)*$T$38*2)+(ROUNDUP((($C$4*12)/5.5),0)*$T$39*2)+(ROUNDUP((($C$4*12)/5.5),0)*$T$40*2)+(ROUNDUP((($C$4*12)/5.5),0)*$T$41*2)+(ROUNDUP((($C$4*12)/5.5),0)*$T$42*2)+(ROUNDUP((($C$4*12)/5.5),0)*$T$43*2))+(($T$58+$T$60)*6)))+30</f>
        <v>912</v>
      </c>
      <c r="G16" s="10" t="str">
        <f>IF(J3="OPTIMA Dekk","2 3/4 IN (Or Longer) Screws)","2 1/2 IN (Or longer) Screws")</f>
        <v>2 1/2 IN (Or longer) Screws</v>
      </c>
      <c r="H16" s="3">
        <f>ROUNDUP(((($H$5*12)/12)+1)*2*ROUNDUP($H$7/5.5,0)*ROUNDUP(($H$4*12)/$H$6,0)+20,0)</f>
        <v>308</v>
      </c>
      <c r="S16" s="5" t="s">
        <v>41</v>
      </c>
      <c r="T16" s="5"/>
      <c r="U16" s="5"/>
      <c r="V16" s="5"/>
    </row>
    <row r="17" spans="2:22" x14ac:dyDescent="0.25">
      <c r="S17" s="5">
        <f>IF(ROUND(($C$5/$T$57),0)&gt;0,ROUND(($C$5/$T$57),0),1)</f>
        <v>3</v>
      </c>
      <c r="T17" s="5">
        <f>IF(ROUND(($C$4/$T$57),0)&gt;1,ROUND(($C$4/$T$57),0),1)</f>
        <v>1</v>
      </c>
      <c r="U17" s="5"/>
      <c r="V17" s="5"/>
    </row>
    <row r="18" spans="2:22" x14ac:dyDescent="0.25">
      <c r="B18" s="20" t="s">
        <v>55</v>
      </c>
      <c r="C18" s="20"/>
      <c r="S18" s="5" t="s">
        <v>44</v>
      </c>
      <c r="T18" s="5"/>
      <c r="U18" s="5"/>
      <c r="V18" s="5"/>
    </row>
    <row r="19" spans="2:22" x14ac:dyDescent="0.25">
      <c r="B19" s="10" t="s">
        <v>38</v>
      </c>
      <c r="C19" s="4">
        <f>IF($M$6="Away from Home",ROUNDUP((($C$4*2)+($C$5*2))/12,0),ROUNDUP((($C$4*2)+$C$5)/12,0))</f>
        <v>5</v>
      </c>
      <c r="G19" s="18" t="s">
        <v>128</v>
      </c>
      <c r="H19" s="19"/>
      <c r="I19" s="19"/>
      <c r="J19" s="19"/>
      <c r="S19" s="5">
        <f>$C$5/$T$57</f>
        <v>2.5</v>
      </c>
      <c r="T19" s="5">
        <f>$C$4/$T$57</f>
        <v>1</v>
      </c>
      <c r="U19" s="5"/>
      <c r="V19" s="5"/>
    </row>
    <row r="20" spans="2:22" x14ac:dyDescent="0.25">
      <c r="B20" s="10" t="s">
        <v>40</v>
      </c>
      <c r="C20" s="4">
        <f>ROUNDUP(IF($M$6="Away from Home",(((($C$4*2)+($C$5*2))*12)/12)*3,(((($C$4*2)+$C$5)*12)/12)*3)+20,0)</f>
        <v>182</v>
      </c>
      <c r="S20" s="5" t="s">
        <v>46</v>
      </c>
      <c r="T20" s="5"/>
      <c r="U20" s="5"/>
      <c r="V20" s="5"/>
    </row>
    <row r="21" spans="2:22" x14ac:dyDescent="0.25">
      <c r="S21" s="5">
        <f>IF($S$19&lt;=1,0,ABS($S$19-TRUNC($S$19)))</f>
        <v>0.5</v>
      </c>
      <c r="T21" s="5">
        <f>IF($T$19&lt;=1,0,ABS($T$19-TRUNC($T$19)))</f>
        <v>0</v>
      </c>
      <c r="U21" s="5"/>
      <c r="V21" s="5"/>
    </row>
    <row r="22" spans="2:22" x14ac:dyDescent="0.25">
      <c r="B22" s="10" t="s">
        <v>122</v>
      </c>
      <c r="C22" s="4">
        <f>IF($M$6="Away from Home",ROUNDUP((($C$4*2)+($C$5*2))/12,0),ROUNDUP((($C$4*2)+$C$5)/12,0))</f>
        <v>5</v>
      </c>
      <c r="S22" s="5" t="s">
        <v>49</v>
      </c>
      <c r="T22" s="5"/>
      <c r="U22" s="5"/>
      <c r="V22" s="5"/>
    </row>
    <row r="23" spans="2:22" x14ac:dyDescent="0.25">
      <c r="B23" s="10" t="s">
        <v>123</v>
      </c>
      <c r="C23" s="4">
        <f>ROUNDUP(IF($M$6="Away from Home",(((($C$4*2)+($C$5*2))*12)/16)*2,(((($C$4*2)+$C$5)*12)/16)*2)+20,0)</f>
        <v>101</v>
      </c>
      <c r="S23" s="5">
        <f>$T$57*$S$21</f>
        <v>6</v>
      </c>
      <c r="T23" s="5">
        <f>$T$57*$T$21</f>
        <v>0</v>
      </c>
      <c r="U23" s="5"/>
      <c r="V23" s="5"/>
    </row>
    <row r="24" spans="2:22" x14ac:dyDescent="0.25">
      <c r="S24" s="5"/>
      <c r="T24" s="5"/>
      <c r="U24" s="5"/>
      <c r="V24" s="5"/>
    </row>
    <row r="25" spans="2:22" x14ac:dyDescent="0.25">
      <c r="B25" s="10" t="str">
        <f>IF(L3="Tongue &amp; Groove","1/32 IN or 1/16 IN Spacer","3/16 IN Spacer")</f>
        <v>1/32 IN or 1/16 IN Spacer</v>
      </c>
      <c r="C25" s="3">
        <v>1</v>
      </c>
      <c r="S25" s="5" t="s">
        <v>54</v>
      </c>
      <c r="T25" s="5"/>
      <c r="U25" s="5"/>
      <c r="V25" s="5"/>
    </row>
    <row r="26" spans="2:22" x14ac:dyDescent="0.25">
      <c r="B26" t="s">
        <v>110</v>
      </c>
      <c r="S26" s="5">
        <f>ROUNDUP(IF($K$6="Perpendicular (To Home)",(($C$4*12)/(IF($L$6="16 IN",16,IF($L$6="24 IN",24,12)))),(($C$5*12)/(IF($L$6="16 IN",16,IF($L$6="24 IN",24,12))))),0)+1</f>
        <v>10</v>
      </c>
      <c r="T26" s="5"/>
      <c r="U26" s="5"/>
      <c r="V26" s="5"/>
    </row>
    <row r="27" spans="2:22" x14ac:dyDescent="0.25">
      <c r="B27" t="s">
        <v>112</v>
      </c>
      <c r="S27" s="5"/>
      <c r="T27" s="5"/>
      <c r="U27" s="5"/>
      <c r="V27" s="5"/>
    </row>
    <row r="28" spans="2:22" x14ac:dyDescent="0.25">
      <c r="B28" t="s">
        <v>124</v>
      </c>
      <c r="S28" s="5" t="s">
        <v>8</v>
      </c>
      <c r="T28" s="5"/>
      <c r="U28" s="5"/>
      <c r="V28" s="5"/>
    </row>
    <row r="29" spans="2:22" x14ac:dyDescent="0.25">
      <c r="S29" s="5" t="s">
        <v>18</v>
      </c>
      <c r="T29" s="5"/>
      <c r="U29" s="5"/>
      <c r="V29" s="5"/>
    </row>
    <row r="30" spans="2:22" x14ac:dyDescent="0.25">
      <c r="S30" s="5" t="s">
        <v>57</v>
      </c>
      <c r="T30" s="5"/>
      <c r="U30" s="5"/>
      <c r="V30" s="5"/>
    </row>
    <row r="31" spans="2:22" x14ac:dyDescent="0.25">
      <c r="S31" s="5"/>
      <c r="T31" s="5"/>
      <c r="U31" s="5"/>
      <c r="V31" s="5"/>
    </row>
    <row r="32" spans="2:22" x14ac:dyDescent="0.25">
      <c r="S32" s="5" t="s">
        <v>59</v>
      </c>
      <c r="T32" s="5"/>
      <c r="U32" s="5"/>
      <c r="V32" s="5"/>
    </row>
    <row r="33" spans="19:22" x14ac:dyDescent="0.25">
      <c r="S33" s="5">
        <f>IF($K$6="Parallel (To Home)",IF($S$19&lt;=1,0,IF($S$19&lt;=2,1,IF($S$17=$S$19,$S$19-1,TRUNC($S$19)))),IF($S$19&lt;=1,0,IF($S$19&lt;=2,1,IF($S$17=$S$19,$S$19-1,TRUNC($S$19)))))</f>
        <v>2</v>
      </c>
      <c r="T33" s="5">
        <f>IF($K$6="Parallel (To Home)",IF($T$19&lt;=1,0,IF($T$19&lt;=2,1,IF($T$17=$T$19,$T$19-1,TRUNC($T$19)))),IF($T$19&lt;=1,0,IF($T$19&lt;=2,1,IF($T$17=$T$19,$T$19-1,TRUNC($T$19)))))</f>
        <v>0</v>
      </c>
      <c r="U33" s="5"/>
      <c r="V33" s="5"/>
    </row>
    <row r="34" spans="19:22" x14ac:dyDescent="0.25">
      <c r="S34" s="5" t="s">
        <v>62</v>
      </c>
      <c r="T34" s="5"/>
      <c r="U34" s="5"/>
      <c r="V34" s="5"/>
    </row>
    <row r="35" spans="19:22" x14ac:dyDescent="0.25">
      <c r="S35" s="5" cm="1">
        <f t="array" ref="S35">_xlfn.IFS(L6="16 IN",16,L6="12 IN",12,L6="24 IN",24)</f>
        <v>16</v>
      </c>
      <c r="T35" s="5"/>
      <c r="U35" s="5"/>
      <c r="V35" s="5"/>
    </row>
    <row r="36" spans="19:22" x14ac:dyDescent="0.25">
      <c r="S36" s="5" t="s">
        <v>63</v>
      </c>
      <c r="T36" s="5"/>
      <c r="U36" s="5"/>
      <c r="V36" s="5"/>
    </row>
    <row r="37" spans="19:22" x14ac:dyDescent="0.25">
      <c r="S37" s="5" t="s">
        <v>64</v>
      </c>
      <c r="T37" s="5">
        <f>IF($S$19&lt;=1,ROUNDUP(((($T$57*12)/$S$35)*$S$19),0)+1,(($T$57*12)/$S$35)+1)</f>
        <v>10</v>
      </c>
      <c r="U37" s="5">
        <f>IF($T$19&lt;=1,ROUNDUP(((($T$57*12)/$S$35)*$T$19),0)+1,(($T$57*12)/$S$35)+1)</f>
        <v>10</v>
      </c>
      <c r="V37" s="5"/>
    </row>
    <row r="38" spans="19:22" x14ac:dyDescent="0.25">
      <c r="S38" s="5" t="s">
        <v>65</v>
      </c>
      <c r="T38" s="5">
        <f>ROUNDUP(IF(AND($S$19&gt;1,$S$19&lt;2),IF($T$59=0,(($T$57*12)/$S$35)*($S$19-TRUNC($S$19)),(($T$59*12)/$S$35)*($S$23/$T$59)),IF($S$19&lt;1.0001,0,(($T$57*12)/$S$35))),0)</f>
        <v>9</v>
      </c>
      <c r="U38" s="5">
        <f>ROUNDUP(IF(AND($T$19&gt;1,$T$19&lt;2),IF($T$59=0,(($T$57*12)/$S$35)*($T$19-TRUNC($T$19)),(($T$59*12)/$S$35)*($T$23/$T$59)),IF($T$19&lt;1.0001,0,(($T$57*12)/$S$35))),0)</f>
        <v>0</v>
      </c>
      <c r="V38" s="5"/>
    </row>
    <row r="39" spans="19:22" x14ac:dyDescent="0.25">
      <c r="S39" s="5" t="s">
        <v>66</v>
      </c>
      <c r="T39" s="5">
        <f>ROUNDUP(IF(AND($S$19&gt;2,$S$19&lt;3),IF($T$59=0,(($T$57*12)/$S$35)*($S$19-TRUNC($S$19)),(($T$59*12)/$S$35)*($S$23/$T$59)),IF($S$19&lt;2.0001,0,(($T$57*12)/$S$35))),0)</f>
        <v>5</v>
      </c>
      <c r="U39" s="5">
        <f>ROUNDUP(IF(AND($T$19&gt;2,$T$19&lt;3),IF($T$59=0,(($T$57*12)/$S$35)*($T$19-TRUNC($T$19)),(($T$59*12)/$S$35)*($T$23/$T$59)),IF($T$19&lt;2.0001,0,(($T$57*12)/$S$35))),0)</f>
        <v>0</v>
      </c>
      <c r="V39" s="5"/>
    </row>
    <row r="40" spans="19:22" x14ac:dyDescent="0.25">
      <c r="S40" s="5" t="s">
        <v>67</v>
      </c>
      <c r="T40" s="5">
        <f>ROUNDUP(IF(AND($S$19&gt;3,$S$19&lt;4),IF($T$59=0,(($T$57*12)/$S$35)*($S$19-TRUNC($S$19)),(($T$59*12)/$S$35)*($S$23/$T$59)),IF($S$19&lt;3.0001,0,(($T$57*12)/$S$35))),0)</f>
        <v>0</v>
      </c>
      <c r="U40" s="5">
        <f>ROUNDUP(IF(AND($T$19&gt;3,$T$19&lt;4),IF($T$59=0,(($T$57*12)/$S$35)*($T$19-TRUNC($T$19)),(($T$59*12)/$S$35)*($T$23/$T$59)),IF($T$19&lt;3.0001,0,(($T$57*12)/$S$35))),0)</f>
        <v>0</v>
      </c>
      <c r="V40" s="5"/>
    </row>
    <row r="41" spans="19:22" x14ac:dyDescent="0.25">
      <c r="S41" s="5" t="s">
        <v>68</v>
      </c>
      <c r="T41" s="5">
        <f>ROUNDUP(IF(AND($S$19&gt;4,$S$19&lt;5),IF($T$59=0,(($T$57*12)/$S$35)*($S$19-TRUNC($S$19)),(($T$59*12)/$S$35)*($S$23/$T$59)),IF($S$19&lt;4.0001,0,(($T$57*12)/$S$35))),0)</f>
        <v>0</v>
      </c>
      <c r="U41" s="5">
        <f>ROUNDUP(IF(AND($T$19&gt;4,$T$19&lt;5),IF($T$59=0,(($T$57*12)/$S$35)*($T$19-TRUNC($T$19)),(($T$59*12)/$S$35)*($T$23/$T$59)),IF($T$19&lt;4.0001,0,(($T$57*12)/$S$35))),0)</f>
        <v>0</v>
      </c>
      <c r="V41" s="5"/>
    </row>
    <row r="42" spans="19:22" x14ac:dyDescent="0.25">
      <c r="S42" s="5" t="s">
        <v>69</v>
      </c>
      <c r="T42" s="5">
        <f>ROUNDUP(IF(AND($S$19&gt;5,$S$19&lt;6),IF($T$59=0,(($T$57*12)/$S$35)*($S$19-TRUNC($S$19)),(($T$59*12)/$S$35)*($S$23/$T$59)),IF($S$19&lt;5.0001,0,(($T$57*12)/$S$35))),0)</f>
        <v>0</v>
      </c>
      <c r="U42" s="5">
        <f>ROUNDUP(IF(AND($T$19&gt;5,$T$19&lt;6),IF($T$59=0,(($T$57*12)/$S$35)*($T$19-TRUNC($T$19)),(($T$59*12)/$S$35)*($T$23/$T$59)),IF($T$19&lt;5.0001,0,(($T$57*12)/$S$35))),0)</f>
        <v>0</v>
      </c>
      <c r="V42" s="5"/>
    </row>
    <row r="43" spans="19:22" x14ac:dyDescent="0.25">
      <c r="S43" s="5" t="s">
        <v>70</v>
      </c>
      <c r="T43" s="5">
        <f>ROUNDUP(IF(AND($S$19&gt;6,$S$19&lt;7),IF($T$59=0,(($T$57*12)/$S$35)*($S$19-TRUNC($S$19)),(($T$59*12)/$S$35)*($S$23/$T$59)),IF($S$19&lt;6.0001,0,(($T$57*12)/$S$35))),0)</f>
        <v>0</v>
      </c>
      <c r="U43" s="5">
        <f>ROUNDUP(IF(AND($T$19&gt;6,$T$19&lt;7),IF($T$59=0,(($T$57*12)/$S$35)*($T$19-TRUNC($T$19)),(($T$59*12)/$S$35)*($T$23/$T$59)),IF($T$19&lt;6.0001,0,(($T$57*12)/$S$35))),0)</f>
        <v>0</v>
      </c>
      <c r="V43" s="5"/>
    </row>
    <row r="44" spans="19:22" x14ac:dyDescent="0.25">
      <c r="S44" s="5"/>
      <c r="T44" s="5"/>
      <c r="U44" s="5"/>
      <c r="V44" s="5"/>
    </row>
    <row r="45" spans="19:22" x14ac:dyDescent="0.25">
      <c r="S45" s="5" t="s">
        <v>71</v>
      </c>
      <c r="T45" s="5"/>
      <c r="U45" s="5"/>
      <c r="V45" s="5"/>
    </row>
    <row r="46" spans="19:22" x14ac:dyDescent="0.25">
      <c r="S46" s="5" t="s">
        <v>72</v>
      </c>
      <c r="T46" s="5"/>
      <c r="U46" s="5"/>
      <c r="V46" s="5"/>
    </row>
    <row r="47" spans="19:22" x14ac:dyDescent="0.25">
      <c r="S47" s="5" t="s">
        <v>73</v>
      </c>
      <c r="T47" s="5"/>
      <c r="U47" s="5"/>
      <c r="V47" s="5"/>
    </row>
    <row r="48" spans="19:22" x14ac:dyDescent="0.25">
      <c r="S48" s="5" t="s">
        <v>13</v>
      </c>
      <c r="T48" s="5"/>
      <c r="U48" s="5"/>
      <c r="V48" s="5"/>
    </row>
    <row r="49" spans="19:22" x14ac:dyDescent="0.25">
      <c r="S49" s="5"/>
      <c r="T49" s="5"/>
      <c r="U49" s="5"/>
      <c r="V49" s="5"/>
    </row>
    <row r="50" spans="19:22" x14ac:dyDescent="0.25">
      <c r="S50" s="5" t="s">
        <v>74</v>
      </c>
      <c r="T50" s="5" t="s">
        <v>75</v>
      </c>
      <c r="U50" s="5" t="s">
        <v>76</v>
      </c>
      <c r="V50" s="5" t="s">
        <v>77</v>
      </c>
    </row>
    <row r="51" spans="19:22" x14ac:dyDescent="0.25">
      <c r="S51" s="5" t="s">
        <v>52</v>
      </c>
      <c r="T51" s="5" cm="1">
        <f t="array" ref="T51">IF($C$4&gt;=21,24,_xlfn.IFS($C$4&lt;=4,12,$C$4&lt;=5,12,$C$4&lt;=6,12,$C$4&lt;=7,16,$C$4&lt;=8,16,$C$4&lt;=9,20,$C$4&lt;=10,12,$C$4&lt;=11,12,$C$4&lt;=12,12,$C$4&lt;=16,16,$C$4&lt;=20,20))</f>
        <v>12</v>
      </c>
      <c r="U51" s="5">
        <f>ROUNDDOWN($T$51/$C$4,0)</f>
        <v>1</v>
      </c>
      <c r="V51" s="5">
        <f>ROUNDUP($T$58/$U$51,0)</f>
        <v>63</v>
      </c>
    </row>
    <row r="52" spans="19:22" x14ac:dyDescent="0.25">
      <c r="S52" s="5" t="s">
        <v>51</v>
      </c>
      <c r="T52" s="5" cm="1">
        <f t="array" ref="T52">IF($C$5&gt;=21,24,_xlfn.IFS($C$5&lt;=4,12,$C$5&lt;=5,12,$C$5&lt;=6,12,$C$5&lt;=7,16,$C$5&lt;=8,16,$C$5&lt;=9,20,$C$5&lt;=10,12,$C$5&lt;=11,12,$C$5&lt;=12,12,$C$5&lt;=16,16,$C$5&lt;=20,20))</f>
        <v>24</v>
      </c>
      <c r="U52" s="5">
        <f>ROUNDDOWN($T$52/$C$5,0)</f>
        <v>0</v>
      </c>
      <c r="V52" s="5" t="e">
        <f>ROUNDUP($T$58/$U$52,0)</f>
        <v>#DIV/0!</v>
      </c>
    </row>
    <row r="53" spans="19:22" x14ac:dyDescent="0.25">
      <c r="S53" s="5" t="s">
        <v>78</v>
      </c>
      <c r="T53" s="5"/>
      <c r="U53" s="5"/>
      <c r="V53" s="5"/>
    </row>
    <row r="54" spans="19:22" x14ac:dyDescent="0.25">
      <c r="S54" s="5" t="s">
        <v>52</v>
      </c>
      <c r="T54" s="5" cm="1">
        <f t="array" ref="T54">IF($T$23=0,0,IF($C$7&lt;=12,12,IF($C$7&lt;=16,_xlfn.IFS($T$23&lt;=4,16,$T$23&lt;=5,16,$T$23&lt;=6,12,$T$23&lt;=7,16,$T$23&lt;=8,16,$T$23&lt;=9,12,$T$23&lt;=10,12,$T$23&lt;=11,12,$T$23&lt;=12,12),IF($C$7&lt;=20,_xlfn.IFS($T$23&lt;=4,20,$T$23&lt;=5,20,$T$23&lt;=6,12,$T$23&lt;=7,16,$T$23&lt;=8,16,$T$23&lt;=9,20,$T$23&lt;=10,20,$T$23&lt;=11,12,$T$23&lt;=12,12),IF($C$7&lt;=24,_xlfn.IFS($T$23&lt;=4,24,$T$23&lt;=5,20,$T$23&lt;=6,24,$T$23&lt;=7,24,$T$23&lt;=8,24,$T$23&lt;=9,20,$T$23&lt;=10,20,$T$23&lt;=11,24,$T$23&lt;=12,24),0)))))</f>
        <v>0</v>
      </c>
      <c r="U54" s="5" t="e">
        <f>ROUNDDOWN($T$54/$T$23,0)</f>
        <v>#DIV/0!</v>
      </c>
      <c r="V54" s="5" t="e">
        <f>ROUNDUP($T$60/$U$54,0)</f>
        <v>#DIV/0!</v>
      </c>
    </row>
    <row r="55" spans="19:22" x14ac:dyDescent="0.25">
      <c r="S55" s="5" t="s">
        <v>51</v>
      </c>
      <c r="T55" s="5" cm="1">
        <f t="array" ref="T55">IF($S$23=0,0,IF($C$7&lt;=12,12,IF($C$7&lt;=16,_xlfn.IFS($S$23&lt;=4,16,$S$23&lt;=5,16,$S$23&lt;=6,12,$S$23&lt;=7,16,$S$23&lt;=8,16,$S$23&lt;=9,12,$S$23&lt;=10,12,$S$23&lt;=11,12,$S$23&lt;=12,12),IF($C$7&lt;=20,_xlfn.IFS($S$23&lt;=4,20,$S$23&lt;=5,20,$S$23&lt;=6,12,$S$23&lt;=7,16,$S$23&lt;=8,16,$S$23&lt;=9,20,$S$23&lt;=10,20,$S$23&lt;=11,12,$S$23&lt;=12,12),IF($C$7&lt;=24,_xlfn.IFS($S$23&lt;=4,24,$S$23&lt;=5,20,$S$23&lt;=6,24,$S$23&lt;=7,24,$S$23&lt;=8,24,$S$23&lt;=9,20,$S$23&lt;=10,20,$S$23&lt;=11,24,$S$23&lt;=12,24),0)))))</f>
        <v>12</v>
      </c>
      <c r="U55" s="5">
        <f>ROUNDDOWN($T$55/$S$23,0)</f>
        <v>2</v>
      </c>
      <c r="V55" s="5">
        <f>ROUNDUP($T$60/$U$55,0)</f>
        <v>0</v>
      </c>
    </row>
    <row r="56" spans="19:22" x14ac:dyDescent="0.25">
      <c r="S56" s="5"/>
      <c r="T56" s="5"/>
      <c r="U56" s="5"/>
      <c r="V56" s="5"/>
    </row>
    <row r="57" spans="19:22" x14ac:dyDescent="0.25">
      <c r="S57" s="5" t="s">
        <v>79</v>
      </c>
      <c r="T57" s="5" cm="1">
        <f t="array" ref="T57">IF($K$6="Parallel (To Home)",IF($C$5&gt;=21,24,_xlfn.IFS($C$5&lt;=12,12,$C$5&lt;=16,16,$C$5&lt;=20,20)),IF($C$4&gt;=21,24,_xlfn.IFS($C$4&lt;=12,12,$C$4&lt;=16,16,$C$4&lt;=20,20)))</f>
        <v>12</v>
      </c>
      <c r="U57" s="5"/>
      <c r="V57" s="5"/>
    </row>
    <row r="58" spans="19:22" x14ac:dyDescent="0.25">
      <c r="S58" s="5" t="s">
        <v>80</v>
      </c>
      <c r="T58" s="5">
        <f>IF($K$6="Parallel (To Home)",(IF($L$3="Tongue &amp; Groove",ROUNDUP(($C$4*12)/5.75,0),ROUNDUP(($C$4*12)/5.5,0)))*IF(T59=0,$S$17,IF($S$17=1,1,$S$17-1)),(IF($L$3="Tongue &amp; Groove",ROUNDUP(($C$5*12)/5.75,0),ROUNDUP(($C$5*12)/5.5,0))*IF(T59=0,$T$17,IF($T$17=1,1,$T$17-1))))</f>
        <v>63</v>
      </c>
      <c r="U58" s="5"/>
      <c r="V58" s="5"/>
    </row>
    <row r="59" spans="19:22" x14ac:dyDescent="0.25">
      <c r="S59" s="5" t="s">
        <v>81</v>
      </c>
      <c r="T59" s="5" cm="1">
        <f t="array" ref="T59">IF($K$6="Parallel (To Home)",_xlfn.IFS($S$23=0,0,$S$23&lt;=12,12,$S$23&lt;=16,16,$S$23&lt;=20,0,$S$23&gt;20,0),_xlfn.IFS($T$23=0,0,$T$23&lt;=12,12,$T$23&lt;=16,16,$T$23&lt;=20,20,$T$23&gt;20,0))</f>
        <v>0</v>
      </c>
      <c r="U59" s="5"/>
      <c r="V59" s="5"/>
    </row>
    <row r="60" spans="19:22" x14ac:dyDescent="0.25">
      <c r="S60" s="5" t="s">
        <v>82</v>
      </c>
      <c r="T60" s="5">
        <f>IF($T$59&lt;&gt;0,IF($K$6="Parallel (To Home)",IF($L$3="Tongue &amp; Groove",ROUNDUP(($C$4*12)/5.75,0),ROUNDUP(($C$4*12)/5.5,0)),IF($L$3="Tongue &amp; Groove",ROUNDUP(($C$5*12)/5.75,0),ROUNDUP(($C$5*12)/5.5,0))),0)</f>
        <v>0</v>
      </c>
      <c r="U60" s="5"/>
      <c r="V60" s="5"/>
    </row>
    <row r="61" spans="19:22" x14ac:dyDescent="0.25">
      <c r="S61" s="5"/>
      <c r="T61" s="5"/>
      <c r="U61" s="5"/>
      <c r="V61" s="5"/>
    </row>
    <row r="62" spans="19:22" x14ac:dyDescent="0.25">
      <c r="S62" s="5" t="s">
        <v>113</v>
      </c>
      <c r="T62" s="5"/>
      <c r="U62" s="5"/>
      <c r="V62" s="5"/>
    </row>
    <row r="63" spans="19:22" x14ac:dyDescent="0.25">
      <c r="S63" s="5" t="s">
        <v>20</v>
      </c>
      <c r="T63" s="5"/>
      <c r="U63" s="5"/>
      <c r="V63" s="5"/>
    </row>
    <row r="64" spans="19:22" x14ac:dyDescent="0.25">
      <c r="S64" s="5" t="s">
        <v>15</v>
      </c>
      <c r="T64" s="5"/>
      <c r="U64" s="5"/>
      <c r="V64" s="5"/>
    </row>
    <row r="65" spans="19:22" x14ac:dyDescent="0.25">
      <c r="S65" s="5"/>
      <c r="T65" s="5"/>
      <c r="U65" s="5"/>
      <c r="V65" s="5"/>
    </row>
    <row r="66" spans="19:22" x14ac:dyDescent="0.25">
      <c r="S66" s="5" t="s">
        <v>84</v>
      </c>
      <c r="T66" s="5" t="s">
        <v>85</v>
      </c>
      <c r="U66" s="5" t="s">
        <v>86</v>
      </c>
      <c r="V66" s="5" t="s">
        <v>87</v>
      </c>
    </row>
    <row r="67" spans="19:22" x14ac:dyDescent="0.25">
      <c r="S67" s="5">
        <f>IF(($C$13+$C$16+$C$20+$C$23)&gt;740,1,0)</f>
        <v>1</v>
      </c>
      <c r="T67" s="5">
        <f>IF(($C$13+$C$16+$C$20+$C$23)&lt;=185,1,IF(($C$13+$C$16+$C$20+$C$23)&lt;=370,2,IF(($C$13+$C$16+$C$20+$C$23)&lt;=555,2,IF(($C$13+$C$16+$C$20+$C$23)&lt;=740,4,0))))</f>
        <v>0</v>
      </c>
      <c r="U67" s="5">
        <f>SUM(S67:S73)</f>
        <v>1</v>
      </c>
      <c r="V67" s="5">
        <f>SUM(T67:T73)</f>
        <v>2</v>
      </c>
    </row>
    <row r="68" spans="19:22" x14ac:dyDescent="0.25">
      <c r="S68" s="5">
        <f>IF(($C$13+$C$16+$C$20+$C$23)&gt;1640,1,0)</f>
        <v>0</v>
      </c>
      <c r="T68" s="5">
        <f>IF(($C$13+$C$16+$C$20+$C$23)&gt;900,IF(($C$13+$C$16+$C$20+$C$23)&lt;1085,1,IF(($C$13+$C$16+$C$20+$C$23)&lt;=1270,2,IF(($C$13+$C$16+$C$20+$C$23)&lt;=1455,3,IF(($C$13+$C$16+$C$20+$C$23)&lt;=1640,4,0)))),0)</f>
        <v>2</v>
      </c>
      <c r="U68" s="5"/>
      <c r="V68" s="5"/>
    </row>
    <row r="69" spans="19:22" x14ac:dyDescent="0.25">
      <c r="S69" s="5">
        <f>IF(($C$13+$C$16+$C$20+$C$23)&gt;2540,1,0)</f>
        <v>0</v>
      </c>
      <c r="T69" s="5">
        <f>IF(($C$13+$C$16+$C$20+$C$23)&gt;1800,IF(($C$13+$C$16+$C$20+$C$23)&lt;=1985,1,IF(($C$13+$C$16+$C$20+$C$23)&lt;=2170,2,IF(($C$13+$C$16+$C$20+$C$23)&lt;=2355,3,IF(($C$13+$C$16+$C$20+$C$23)&lt;=2540,4,0)))),0)</f>
        <v>0</v>
      </c>
      <c r="U69" s="5"/>
      <c r="V69" s="5"/>
    </row>
    <row r="70" spans="19:22" x14ac:dyDescent="0.25">
      <c r="S70" s="5">
        <f>IF(($C$13+$C$16+$C$20+$C$23)&gt;3440,1,0)</f>
        <v>0</v>
      </c>
      <c r="T70" s="5">
        <f>IF(($C$13+$C$16+$C$20+$C$23)&gt;2700,IF(($C$13+$C$16+$C$20+$C$23)&lt;=2885,1,IF(($C$13+$C$16+$C$20+$C$23)&lt;=3070,2,IF(($C$13+$C$16+$C$20+$C$23)&lt;=3255,3,IF(($C$13+$C$16+$C$20+$C$23)&lt;=3440,4,0)))),0)</f>
        <v>0</v>
      </c>
      <c r="U70" s="5"/>
      <c r="V70" s="5"/>
    </row>
    <row r="71" spans="19:22" x14ac:dyDescent="0.25">
      <c r="S71" s="5">
        <f>IF(($C$13+$C$16+$C$20+$C$23)&gt;4340,1,0)</f>
        <v>0</v>
      </c>
      <c r="T71" s="5">
        <f>IF(($C$13+$C$16+$C$20+$C$23)&gt;3600,IF(($C$13+$C$16+$C$20+$C$23)&lt;=3785,1,IF(($C$13+$C$16+$C$20+$C$23)&lt;=3970,2,IF(($C$13+$C$16+$C$20+$C$23)&lt;=4155,3,IF(($C$13+$C$16+$C$20+$C$23)&lt;=4340,4,0)))),0)</f>
        <v>0</v>
      </c>
      <c r="U71" s="5"/>
      <c r="V71" s="5"/>
    </row>
    <row r="72" spans="19:22" x14ac:dyDescent="0.25">
      <c r="S72" s="5">
        <f>IF(($C$13+$C$16+$C$20+$C$23)&gt;5240,1,0)</f>
        <v>0</v>
      </c>
      <c r="T72" s="5">
        <f>IF(($C$13+$C$16+$C$20+$C$23)&gt;4500,IF(($C$13+$C$16+$C$20+$C$23)&lt;=4685,1,IF(($C$13+$C$16+$C$20+$C$23)&lt;=4870,2,IF(($C$13+$C$16+$C$20+$C$23)&lt;=5055,3,IF(($C$13+$C$16+$C$20+$C$23)&lt;=5240,4,0)))),0)</f>
        <v>0</v>
      </c>
      <c r="U72" s="5"/>
      <c r="V72" s="5"/>
    </row>
    <row r="73" spans="19:22" x14ac:dyDescent="0.25">
      <c r="S73" s="5">
        <f>IF(($C$13+$C$16+$C$20+$C$23)&gt;6140,1,0)</f>
        <v>0</v>
      </c>
      <c r="T73" s="5">
        <f>IF(($C$13+$C$16+$C$20+$C$23)&gt;5400,IF(($C$13+$C$16+$C$20+$C$23)&lt;=5585,1,IF(($C$13+$C$16+$C$20+$C$23)&lt;=5770,2,IF(($C$13+$C$16+$C$20+$C$23)&lt;=5955,3,IF(($C$13+$C$16+$C$20+$C$23)&lt;=6140,4,0)))),0)</f>
        <v>0</v>
      </c>
      <c r="U73" s="5"/>
      <c r="V73" s="5"/>
    </row>
    <row r="74" spans="19:22" x14ac:dyDescent="0.25">
      <c r="S74" s="5"/>
      <c r="T74" s="5"/>
      <c r="U74" s="5"/>
      <c r="V74" s="5"/>
    </row>
    <row r="75" spans="19:22" x14ac:dyDescent="0.25">
      <c r="S75" s="5"/>
      <c r="T75" s="5"/>
      <c r="U75" s="5"/>
      <c r="V75" s="5"/>
    </row>
  </sheetData>
  <sheetProtection sheet="1" objects="1" scenarios="1"/>
  <mergeCells count="4">
    <mergeCell ref="B18:C18"/>
    <mergeCell ref="B15:C15"/>
    <mergeCell ref="G12:H12"/>
    <mergeCell ref="A1:XFD1"/>
  </mergeCells>
  <dataValidations count="8">
    <dataValidation type="list" allowBlank="1" showInputMessage="1" showErrorMessage="1" sqref="L3" xr:uid="{3D3B4EB2-A2DC-4AB7-896B-7C09B8A6D529}">
      <formula1>$S$3:$S$4</formula1>
    </dataValidation>
    <dataValidation type="list" allowBlank="1" showInputMessage="1" showErrorMessage="1" sqref="M6" xr:uid="{6A1E4110-9C84-491C-8C48-F23EA21F2E32}">
      <formula1>$S$29:$S$30</formula1>
    </dataValidation>
    <dataValidation type="list" allowBlank="1" showInputMessage="1" showErrorMessage="1" sqref="K6" xr:uid="{0FC0C012-F655-4788-8179-D9A21E77C52B}">
      <formula1>$S$12:$S$13</formula1>
    </dataValidation>
    <dataValidation type="list" allowBlank="1" showInputMessage="1" showErrorMessage="1" sqref="L6" xr:uid="{7B23371C-11BE-41DA-B4C4-497A89E01010}">
      <formula1>$S$7:$S$9</formula1>
    </dataValidation>
    <dataValidation type="list" allowBlank="1" showInputMessage="1" showErrorMessage="1" sqref="J3" xr:uid="{074489FF-1710-4CDB-AF52-8B0CE1382E81}">
      <formula1>$S$46:$S$48</formula1>
    </dataValidation>
    <dataValidation type="list" allowBlank="1" showInputMessage="1" showErrorMessage="1" sqref="M3" xr:uid="{3570FDC9-D856-4BA9-95DE-88C89D3B4ADB}">
      <formula1>$S$63:$S$64</formula1>
    </dataValidation>
    <dataValidation type="list" allowBlank="1" showInputMessage="1" showErrorMessage="1" sqref="J6" xr:uid="{F28CB8CC-57C6-423E-8379-965250A8BF02}">
      <formula1>$T$8:$T$9</formula1>
    </dataValidation>
    <dataValidation type="list" allowBlank="1" showInputMessage="1" showErrorMessage="1" sqref="K3" xr:uid="{D57E2BB0-D0E7-48D3-878D-91F2A2E251B1}">
      <formula1>$T$3:$T$5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061EB-2A51-4F6D-9FAF-1ABCB16800AF}">
  <dimension ref="B1:V74"/>
  <sheetViews>
    <sheetView zoomScale="80" zoomScaleNormal="80" workbookViewId="0">
      <selection activeCell="B46" sqref="B46"/>
    </sheetView>
  </sheetViews>
  <sheetFormatPr defaultColWidth="8.85546875" defaultRowHeight="15" x14ac:dyDescent="0.25"/>
  <cols>
    <col min="2" max="2" width="60.7109375" customWidth="1"/>
    <col min="3" max="3" width="18.7109375" customWidth="1"/>
    <col min="4" max="4" width="8.7109375" customWidth="1"/>
    <col min="5" max="5" width="25.7109375" customWidth="1"/>
    <col min="6" max="6" width="8.7109375" customWidth="1"/>
    <col min="7" max="7" width="31.7109375" customWidth="1"/>
    <col min="8" max="8" width="13.7109375" customWidth="1"/>
    <col min="10" max="10" width="35.28515625" bestFit="1" customWidth="1"/>
    <col min="11" max="11" width="26.7109375" bestFit="1" customWidth="1"/>
    <col min="12" max="12" width="15.85546875" bestFit="1" customWidth="1"/>
    <col min="13" max="13" width="26.7109375" bestFit="1" customWidth="1"/>
    <col min="14" max="14" width="35.28515625" bestFit="1" customWidth="1"/>
    <col min="15" max="15" width="23.42578125" bestFit="1" customWidth="1"/>
    <col min="16" max="16" width="12.5703125" bestFit="1" customWidth="1"/>
    <col min="17" max="17" width="15.85546875" bestFit="1" customWidth="1"/>
    <col min="19" max="19" width="38.85546875" hidden="1" customWidth="1"/>
    <col min="20" max="20" width="20.85546875" hidden="1" customWidth="1"/>
    <col min="21" max="21" width="18.7109375" hidden="1" customWidth="1"/>
    <col min="22" max="22" width="24.140625" hidden="1" customWidth="1"/>
  </cols>
  <sheetData>
    <row r="1" spans="2:22" s="21" customFormat="1" ht="219.95" customHeight="1" x14ac:dyDescent="0.25"/>
    <row r="2" spans="2:22" x14ac:dyDescent="0.25">
      <c r="B2" s="6" t="s">
        <v>0</v>
      </c>
      <c r="G2" s="6" t="s">
        <v>1</v>
      </c>
      <c r="J2" s="7" t="s">
        <v>2</v>
      </c>
      <c r="K2" s="7" t="s">
        <v>3</v>
      </c>
      <c r="L2" s="7" t="s">
        <v>92</v>
      </c>
      <c r="M2" s="7" t="s">
        <v>4</v>
      </c>
      <c r="S2" s="5" t="s">
        <v>95</v>
      </c>
      <c r="T2" s="5" t="s">
        <v>3</v>
      </c>
      <c r="U2" s="5"/>
      <c r="V2" s="5"/>
    </row>
    <row r="3" spans="2:22" x14ac:dyDescent="0.25">
      <c r="C3" s="8" t="s">
        <v>11</v>
      </c>
      <c r="E3" s="9" t="s">
        <v>12</v>
      </c>
      <c r="H3" s="8" t="s">
        <v>11</v>
      </c>
      <c r="J3" s="2" t="s">
        <v>72</v>
      </c>
      <c r="K3" s="2" t="s">
        <v>15</v>
      </c>
      <c r="L3" s="2" t="s">
        <v>96</v>
      </c>
      <c r="M3" s="2" t="s">
        <v>15</v>
      </c>
      <c r="S3" s="5" t="s">
        <v>96</v>
      </c>
      <c r="T3" s="5" t="s">
        <v>14</v>
      </c>
      <c r="U3" s="5"/>
      <c r="V3" s="5"/>
    </row>
    <row r="4" spans="2:22" x14ac:dyDescent="0.25">
      <c r="B4" s="10" t="s">
        <v>125</v>
      </c>
      <c r="C4" s="1">
        <v>12</v>
      </c>
      <c r="E4" s="11">
        <f>C4*12</f>
        <v>144</v>
      </c>
      <c r="G4" s="10" t="s">
        <v>19</v>
      </c>
      <c r="H4" s="1">
        <v>10</v>
      </c>
      <c r="S4" s="5" t="s">
        <v>120</v>
      </c>
      <c r="T4" s="5" t="s">
        <v>20</v>
      </c>
      <c r="U4" s="5"/>
      <c r="V4" s="5"/>
    </row>
    <row r="5" spans="2:22" x14ac:dyDescent="0.25">
      <c r="B5" s="10" t="s">
        <v>126</v>
      </c>
      <c r="C5" s="1">
        <v>30</v>
      </c>
      <c r="E5" s="9" t="s">
        <v>21</v>
      </c>
      <c r="G5" s="10" t="s">
        <v>22</v>
      </c>
      <c r="H5" s="1">
        <v>3</v>
      </c>
      <c r="J5" s="7" t="s">
        <v>5</v>
      </c>
      <c r="K5" s="7" t="s">
        <v>6</v>
      </c>
      <c r="L5" s="7" t="s">
        <v>7</v>
      </c>
      <c r="M5" s="7" t="s">
        <v>8</v>
      </c>
      <c r="S5" s="5"/>
      <c r="T5" s="5" t="s">
        <v>15</v>
      </c>
      <c r="U5" s="5"/>
      <c r="V5" s="5"/>
    </row>
    <row r="6" spans="2:22" x14ac:dyDescent="0.25">
      <c r="B6" s="12" t="s">
        <v>127</v>
      </c>
      <c r="C6" s="13"/>
      <c r="E6" s="11">
        <f>C5*12</f>
        <v>360</v>
      </c>
      <c r="G6" s="10" t="s">
        <v>23</v>
      </c>
      <c r="H6" s="1">
        <v>7</v>
      </c>
      <c r="J6" s="2" t="s">
        <v>15</v>
      </c>
      <c r="K6" s="2" t="s">
        <v>16</v>
      </c>
      <c r="L6" s="2" t="s">
        <v>17</v>
      </c>
      <c r="M6" s="2" t="s">
        <v>18</v>
      </c>
      <c r="S6" s="5" t="s">
        <v>24</v>
      </c>
      <c r="T6" s="5"/>
      <c r="U6" s="5"/>
      <c r="V6" s="5"/>
    </row>
    <row r="7" spans="2:22" x14ac:dyDescent="0.25">
      <c r="B7" s="10" t="s">
        <v>25</v>
      </c>
      <c r="C7" s="3" cm="1">
        <f t="array" ref="C7">IF($K$6="Parallel (To Home)",IF($C$5&gt;=21,24,_xlfn.IFS($C$5&lt;=4,12,$C$5&lt;=5,12,$C$5&lt;=6,12,$C$5&lt;=7,16,$C$5&lt;=8,16,$C$5&lt;=9,20,$C$5&lt;=10,12,$C$5&lt;=11,12,$C$5&lt;=12,12,$C$5&lt;=16,16,$C$5&lt;=20,20)),IF($C$4&gt;=21,24,_xlfn.IFS($C$4&lt;=4,12,$C$4&lt;=5,12,$C$4&lt;=6,12,$C$4&lt;=7,16,$C$4&lt;=8,16,$C$4&lt;=9,20,$C$4&lt;=10,12,$C$4&lt;=11,12,$C$4&lt;=12,12,$C$4&lt;=16,16,$C$4&lt;=20,20)))</f>
        <v>12</v>
      </c>
      <c r="E7" s="9" t="s">
        <v>26</v>
      </c>
      <c r="G7" s="10" t="s">
        <v>27</v>
      </c>
      <c r="H7" s="1">
        <v>11</v>
      </c>
      <c r="S7" s="5" t="s">
        <v>28</v>
      </c>
      <c r="T7" s="5" t="s">
        <v>93</v>
      </c>
      <c r="U7" s="5"/>
      <c r="V7" s="5"/>
    </row>
    <row r="8" spans="2:22" x14ac:dyDescent="0.25">
      <c r="B8" s="10" t="s">
        <v>29</v>
      </c>
      <c r="C8" s="3">
        <f>IF($K$6="Parallel (to Home)",IF($C$5&lt;=12,$V$52,$T$58),IF($C$4&lt;=12,$V$51,$T$58))</f>
        <v>63</v>
      </c>
      <c r="E8" s="11">
        <f>C5*C4</f>
        <v>360</v>
      </c>
      <c r="S8" s="5" t="s">
        <v>17</v>
      </c>
      <c r="T8" s="5" t="s">
        <v>20</v>
      </c>
      <c r="U8" s="5"/>
      <c r="V8" s="5"/>
    </row>
    <row r="9" spans="2:22" x14ac:dyDescent="0.25">
      <c r="B9" s="10" t="s">
        <v>30</v>
      </c>
      <c r="C9" s="3">
        <f>IF($K$6="Parallel (To Home)",$T$55,$T$54)</f>
        <v>0</v>
      </c>
      <c r="G9" s="10" t="s">
        <v>31</v>
      </c>
      <c r="H9" s="3" cm="1">
        <f t="array" ref="H9">_xlfn.IFS($H$5&lt;=3,24,$H$5&lt;=4,24,$H$5&lt;=5,20,$H$5&lt;=6,24)</f>
        <v>24</v>
      </c>
      <c r="S9" s="5" t="s">
        <v>32</v>
      </c>
      <c r="T9" s="5" t="s">
        <v>15</v>
      </c>
      <c r="U9" s="5"/>
      <c r="V9" s="5"/>
    </row>
    <row r="10" spans="2:22" x14ac:dyDescent="0.25">
      <c r="B10" s="10" t="s">
        <v>33</v>
      </c>
      <c r="C10" s="3">
        <f>IF($K$6="Parallel (To Home)",IF($S$23=0,0,IF($S$23&lt;=12,$V$55,$T$60)),IF($T$23=0,0,IF($T$23&lt;=12,$V$54,$T$60)))</f>
        <v>0</v>
      </c>
      <c r="G10" s="10" t="str">
        <f>_xlfn.CONCAT(J3," ","Boards Needed")</f>
        <v>I.Dekk S4S Boards Needed</v>
      </c>
      <c r="H10" s="3">
        <f>ROUNDUP((($H$4*12)/$H$6)*(IF($J$3="OPTIMA Dekk",ROUNDUP(($H$7/5.5),0),IF($J$3="I.Dekk S4S",ROUNDUP(($H$7/5.5),0),ROUNDUP(($H$7/5.5),0))))/ROUNDDOWN(($H$9/$H$5),0),0)</f>
        <v>5</v>
      </c>
      <c r="S10" s="5"/>
      <c r="T10" s="5"/>
      <c r="U10" s="5"/>
      <c r="V10" s="5"/>
    </row>
    <row r="11" spans="2:22" x14ac:dyDescent="0.25">
      <c r="B11" s="14"/>
      <c r="S11" s="5" t="s">
        <v>35</v>
      </c>
      <c r="T11" s="5"/>
      <c r="U11" s="5"/>
      <c r="V11" s="5"/>
    </row>
    <row r="12" spans="2:22" x14ac:dyDescent="0.25">
      <c r="B12" s="10" t="s">
        <v>37</v>
      </c>
      <c r="C12" s="3">
        <f>IF(K6="Parallel (To Home)",ROUNDUP(($C$4/12),0)*$S$33,ROUNDUP(($C$5/12),0)*$T$33)</f>
        <v>0</v>
      </c>
      <c r="G12" s="20" t="s">
        <v>36</v>
      </c>
      <c r="H12" s="20"/>
      <c r="S12" s="5" t="s">
        <v>16</v>
      </c>
      <c r="T12" s="5"/>
      <c r="U12" s="5"/>
      <c r="V12" s="5"/>
    </row>
    <row r="13" spans="2:22" x14ac:dyDescent="0.25">
      <c r="B13" s="10" t="s">
        <v>39</v>
      </c>
      <c r="C13" s="3">
        <f>ROUNDUP(IF($C$12=0,0,IF($K$6="Perpendicular (To Home)",IF(($C$4-$T$57)&gt;($T$57*3),(4*$S$26*2),IF(($C$4-$T$57)&gt;($T$57*2),(3*$S$26*2),IF(($C$4-$T$57)&gt;($T$57),(2*$S$26*2),IF(($C$4-$T$57)&gt;0,($S$26*2),0)))),IF(($C$5-$T$57)&gt;($T$57*3),(4*$S$26*2),IF(($C$5-$T$57)&gt;($T$57*2),(3*$S$26*2),IF(($C$5-$T$57)&gt;($T$57),(2*$S$26*2),IF(($C$5-$T$57)&gt;0,($S$26*2),0)))))+20),0)</f>
        <v>0</v>
      </c>
      <c r="G13" s="10" t="s">
        <v>38</v>
      </c>
      <c r="H13" s="3">
        <f>ROUNDUP(ROUNDUP(($H$4*12)/$H$6,0)/ROUNDUP((12/$H$5),0)/IF($H$6&lt;=6,2,1),0)</f>
        <v>5</v>
      </c>
      <c r="S13" s="5" t="s">
        <v>103</v>
      </c>
      <c r="T13" s="5"/>
      <c r="U13" s="5"/>
      <c r="V13" s="5"/>
    </row>
    <row r="14" spans="2:22" x14ac:dyDescent="0.25">
      <c r="C14" s="8"/>
      <c r="G14" s="10" t="s">
        <v>40</v>
      </c>
      <c r="H14" s="3">
        <f>ROUNDUP((($H$5*12)/12)*3*ROUNDUP(($H$4*12)/$H$6,0)*IF($H$6&lt;=6,2,1)+20,0)</f>
        <v>182</v>
      </c>
      <c r="S14" s="5"/>
      <c r="T14" s="5"/>
      <c r="U14" s="5"/>
      <c r="V14" s="5"/>
    </row>
    <row r="15" spans="2:22" x14ac:dyDescent="0.25">
      <c r="B15" s="20" t="s">
        <v>36</v>
      </c>
      <c r="C15" s="20"/>
      <c r="S15" s="5"/>
      <c r="T15" s="5"/>
      <c r="U15" s="5"/>
      <c r="V15" s="5"/>
    </row>
    <row r="16" spans="2:22" x14ac:dyDescent="0.25">
      <c r="B16" s="10" t="s">
        <v>121</v>
      </c>
      <c r="C16" s="3">
        <f>IF($K$6="Perpendicular (To Home)",IF($L$3="Tongue &amp; Groove",((ROUNDUP((($C$5*12)/5.75),0)*$U$37)+(ROUNDUP((($C$5*12)/5.75),0)*$U$38)+(ROUNDUP((($C$5*12)/5.75),0)*$U$39)+(ROUNDUP((($C$5*12)/5.75),0)*$U$40)+(ROUNDUP((($C$5*12)/5.75),0)*$U$41)+(ROUNDUP((($C$5*12)/5.75),0)*$U$42)+(ROUNDUP((($C$5*12)/5.75),0)*$U$43))+(($T$58+$T$60)*4),((ROUNDUP((($C$5*12)/5.5),0)*$U$37*2)+(ROUNDUP((($C$5*12)/5.5),0)*$U$38*2)+(ROUNDUP((($C$5*12)/5.5),0)*$U$39*2)+(ROUNDUP((($C$5*12)/5.5),0)*$U$40*2)+(ROUNDUP((($C$5*12)/5.5),0)*$U$41*2)+(ROUNDUP((($C$5*12)/5.5),0)*$U$42*2)+(ROUNDUP((($C$5*12)/5.5),0)*$U$43*2))+(($T$58+$T$60)*6)),IF($L$3="Tongue &amp; Groove",((ROUNDUP((($C$4*12)/5.75),0)*$T$37)+(ROUNDUP((($C$4*12)/5.75),0)*$T$38)+(ROUNDUP((($C$4*12)/5.75),0)*$T$39)+(ROUNDUP((($C$4*12)/5.75),0)*$T$40)+(ROUNDUP((($C$4*12)/5.75),0)*$T$41)+(ROUNDUP((($C$4*12)/5.75),0)*$T$42)+(ROUNDUP((($C$4*12)/5.75),0)*$T$43))+(($T$58+$T$60)*4),((ROUNDUP((($C$4*12)/5.5),0)*$T$37*2)+(ROUNDUP((($C$4*12)/5.5),0)*$T$38*2)+(ROUNDUP((($C$4*12)/5.5),0)*$T$39*2)+(ROUNDUP((($C$4*12)/5.5),0)*$T$40*2)+(ROUNDUP((($C$4*12)/5.5),0)*$T$41*2)+(ROUNDUP((($C$4*12)/5.5),0)*$T$42*2)+(ROUNDUP((($C$4*12)/5.5),0)*$T$43*2))+(($T$58+$T$60)*6)))+30</f>
        <v>912</v>
      </c>
      <c r="G16" s="10" t="str">
        <f>IF(J3="OPTIMA Dekk","2 3/4 IN (Or Longer) Screws)","2 1/2 IN (Or longer) Screws")</f>
        <v>2 1/2 IN (Or longer) Screws</v>
      </c>
      <c r="H16" s="3">
        <f>ROUNDUP(((($H$5*12)/12)+1)*2*ROUNDUP($H$7/5.5,0)*ROUNDUP(($H$4*12)/$H$6,0)+20,0)</f>
        <v>308</v>
      </c>
      <c r="S16" s="5" t="s">
        <v>41</v>
      </c>
      <c r="T16" s="5"/>
      <c r="U16" s="5"/>
      <c r="V16" s="5"/>
    </row>
    <row r="17" spans="2:22" x14ac:dyDescent="0.25">
      <c r="S17" s="5">
        <f>IF(ROUND(($C$5/$T$57),0)&gt;0,ROUND(($C$5/$T$57),0),1)</f>
        <v>3</v>
      </c>
      <c r="T17" s="5">
        <f>IF(ROUND(($C$4/$T$57),0)&gt;1,ROUND(($C$4/$T$57),0),1)</f>
        <v>1</v>
      </c>
      <c r="U17" s="5"/>
      <c r="V17" s="5"/>
    </row>
    <row r="18" spans="2:22" x14ac:dyDescent="0.25">
      <c r="B18" s="20" t="s">
        <v>55</v>
      </c>
      <c r="C18" s="20"/>
      <c r="S18" s="5" t="s">
        <v>44</v>
      </c>
      <c r="T18" s="5"/>
      <c r="U18" s="5"/>
      <c r="V18" s="5"/>
    </row>
    <row r="19" spans="2:22" x14ac:dyDescent="0.25">
      <c r="B19" s="10" t="s">
        <v>38</v>
      </c>
      <c r="C19" s="4">
        <f>IF($M$6="Away from Home",ROUNDUP((($C$4*2)+($C$5*2))/12,0),ROUNDUP((($C$4*2)+$C$5)/12,0))</f>
        <v>5</v>
      </c>
      <c r="G19" s="18" t="s">
        <v>128</v>
      </c>
      <c r="H19" s="19"/>
      <c r="I19" s="19"/>
      <c r="J19" s="19"/>
      <c r="L19" s="8"/>
      <c r="S19" s="5">
        <f>$C$5/$T$57</f>
        <v>2.5</v>
      </c>
      <c r="T19" s="5">
        <f>$C$4/$T$57</f>
        <v>1</v>
      </c>
      <c r="U19" s="5"/>
      <c r="V19" s="5"/>
    </row>
    <row r="20" spans="2:22" x14ac:dyDescent="0.25">
      <c r="B20" s="10" t="s">
        <v>40</v>
      </c>
      <c r="C20" s="4">
        <f>ROUNDUP(IF($M$6="Away from Home",(((($C$4*2)+($C$5*2))*12)/12)*3,(((($C$4*2)+$C$5)*12)/12)*3)+20,0)</f>
        <v>182</v>
      </c>
      <c r="S20" s="5" t="s">
        <v>46</v>
      </c>
      <c r="T20" s="5"/>
      <c r="U20" s="5"/>
      <c r="V20" s="5"/>
    </row>
    <row r="21" spans="2:22" x14ac:dyDescent="0.25">
      <c r="S21" s="5">
        <f>IF($S$19&lt;=1,0,ABS($S$19-TRUNC($S$19)))</f>
        <v>0.5</v>
      </c>
      <c r="T21" s="5">
        <f>IF($T$19&lt;=1,0,ABS($T$19-TRUNC($T$19)))</f>
        <v>0</v>
      </c>
      <c r="U21" s="5"/>
      <c r="V21" s="5"/>
    </row>
    <row r="22" spans="2:22" x14ac:dyDescent="0.25">
      <c r="B22" s="10" t="s">
        <v>122</v>
      </c>
      <c r="C22" s="4">
        <f>IF($M$6="Away from Home",ROUNDUP((($C$4*2)+($C$5*2))/12,0),ROUNDUP((($C$4*2)+$C$5)/12,0))</f>
        <v>5</v>
      </c>
      <c r="S22" s="5" t="s">
        <v>49</v>
      </c>
      <c r="T22" s="5"/>
      <c r="U22" s="5"/>
      <c r="V22" s="5"/>
    </row>
    <row r="23" spans="2:22" x14ac:dyDescent="0.25">
      <c r="B23" s="10" t="s">
        <v>123</v>
      </c>
      <c r="C23" s="4">
        <f>ROUNDUP(IF($M$6="Away from Home",(((($C$4*2)+($C$5*2))*12)/16)*2,(((($C$4*2)+$C$5)*12)/16)*2)+20,0)</f>
        <v>101</v>
      </c>
      <c r="S23" s="5">
        <f>$T$57*$S$21</f>
        <v>6</v>
      </c>
      <c r="T23" s="5">
        <f>$T$57*$T$21</f>
        <v>0</v>
      </c>
      <c r="U23" s="5"/>
      <c r="V23" s="5"/>
    </row>
    <row r="24" spans="2:22" x14ac:dyDescent="0.25">
      <c r="S24" s="5"/>
      <c r="T24" s="5"/>
      <c r="U24" s="5"/>
      <c r="V24" s="5"/>
    </row>
    <row r="25" spans="2:22" x14ac:dyDescent="0.25">
      <c r="B25" s="10" t="str">
        <f>IF(L3="Tongue &amp; Groove","1/32 IN or 1/16 IN Spacer","3/16 IN Spacer")</f>
        <v>1/32 IN or 1/16 IN Spacer</v>
      </c>
      <c r="C25" s="3">
        <v>1</v>
      </c>
      <c r="S25" s="5" t="s">
        <v>54</v>
      </c>
      <c r="T25" s="5"/>
      <c r="U25" s="5"/>
      <c r="V25" s="5"/>
    </row>
    <row r="26" spans="2:22" x14ac:dyDescent="0.25">
      <c r="B26" t="s">
        <v>110</v>
      </c>
      <c r="S26" s="5">
        <f>ROUNDUP(IF($K$6="Perpendicular (To Home)",(($C$4*12)/(IF($L$6="16 IN",16,IF($L$6="24 IN",24,12)))),(($C$5*12)/(IF($L$6="16 IN",16,IF($L$6="24 IN",24,12))))),0)+1</f>
        <v>10</v>
      </c>
      <c r="T26" s="5"/>
      <c r="U26" s="5"/>
      <c r="V26" s="5"/>
    </row>
    <row r="27" spans="2:22" x14ac:dyDescent="0.25">
      <c r="B27" t="s">
        <v>112</v>
      </c>
      <c r="S27" s="5"/>
      <c r="T27" s="5"/>
      <c r="U27" s="5"/>
      <c r="V27" s="5"/>
    </row>
    <row r="28" spans="2:22" x14ac:dyDescent="0.25">
      <c r="B28" t="s">
        <v>124</v>
      </c>
      <c r="S28" s="5" t="s">
        <v>8</v>
      </c>
      <c r="T28" s="5"/>
      <c r="U28" s="5"/>
      <c r="V28" s="5"/>
    </row>
    <row r="29" spans="2:22" x14ac:dyDescent="0.25">
      <c r="S29" s="5" t="s">
        <v>18</v>
      </c>
      <c r="T29" s="5"/>
      <c r="U29" s="5"/>
      <c r="V29" s="5"/>
    </row>
    <row r="30" spans="2:22" x14ac:dyDescent="0.25">
      <c r="S30" s="5" t="s">
        <v>57</v>
      </c>
      <c r="T30" s="5"/>
      <c r="U30" s="5"/>
      <c r="V30" s="5"/>
    </row>
    <row r="31" spans="2:22" x14ac:dyDescent="0.25">
      <c r="S31" s="5"/>
      <c r="T31" s="5"/>
      <c r="U31" s="5"/>
      <c r="V31" s="5"/>
    </row>
    <row r="32" spans="2:22" x14ac:dyDescent="0.25">
      <c r="S32" s="5" t="s">
        <v>59</v>
      </c>
      <c r="T32" s="5"/>
      <c r="U32" s="5"/>
      <c r="V32" s="5"/>
    </row>
    <row r="33" spans="19:22" x14ac:dyDescent="0.25">
      <c r="S33" s="5">
        <f>IF($K$6="Parallel (To Home)",IF($S$19&lt;=1,0,IF($S$19&lt;=2,1,IF($S$17=$S$19,$S$19-1,TRUNC($S$19)))),IF($S$19&lt;=1,0,IF($S$19&lt;=2,1,IF($S$17=$S$19,$S$19-1,TRUNC($S$19)))))</f>
        <v>2</v>
      </c>
      <c r="T33" s="5">
        <f>IF($K$6="Parallel (To Home)",IF($T$19&lt;=1,0,IF($T$19&lt;=2,1,IF($T$17=$T$19,$T$19-1,TRUNC($T$19)))),IF($T$19&lt;=1,0,IF($T$19&lt;=2,1,IF($T$17=$T$19,$T$19-1,TRUNC($T$19)))))</f>
        <v>0</v>
      </c>
      <c r="U33" s="5"/>
      <c r="V33" s="5"/>
    </row>
    <row r="34" spans="19:22" x14ac:dyDescent="0.25">
      <c r="S34" s="5" t="s">
        <v>62</v>
      </c>
      <c r="T34" s="5"/>
      <c r="U34" s="5"/>
      <c r="V34" s="5"/>
    </row>
    <row r="35" spans="19:22" x14ac:dyDescent="0.25">
      <c r="S35" s="5" cm="1">
        <f t="array" ref="S35">_xlfn.IFS(L6="16 IN",16,L6="12 IN",12,L6="24 IN",24)</f>
        <v>16</v>
      </c>
      <c r="T35" s="5"/>
      <c r="U35" s="5"/>
      <c r="V35" s="5"/>
    </row>
    <row r="36" spans="19:22" x14ac:dyDescent="0.25">
      <c r="S36" s="5" t="s">
        <v>63</v>
      </c>
      <c r="T36" s="5"/>
      <c r="U36" s="5"/>
      <c r="V36" s="5"/>
    </row>
    <row r="37" spans="19:22" x14ac:dyDescent="0.25">
      <c r="S37" s="5" t="s">
        <v>64</v>
      </c>
      <c r="T37" s="5">
        <f>IF($S$19&lt;=1,ROUNDUP(((($T$57*12)/$S$35)*$S$19),0)+1,(($T$57*12)/$S$35)+1)</f>
        <v>10</v>
      </c>
      <c r="U37" s="5">
        <f>IF($T$19&lt;=1,ROUNDUP(((($T$57*12)/$S$35)*$T$19),0)+1,(($T$57*12)/$S$35)+1)</f>
        <v>10</v>
      </c>
      <c r="V37" s="5"/>
    </row>
    <row r="38" spans="19:22" x14ac:dyDescent="0.25">
      <c r="S38" s="5" t="s">
        <v>65</v>
      </c>
      <c r="T38" s="5">
        <f>ROUNDUP(IF(AND($S$19&gt;1,$S$19&lt;2),IF($T$59=0,(($T$57*12)/$S$35)*($S$19-TRUNC($S$19)),(($T$59*12)/$S$35)*($S$23/$T$59)),IF($S$19&lt;1.0001,0,(($T$57*12)/$S$35))),0)</f>
        <v>9</v>
      </c>
      <c r="U38" s="5">
        <f>ROUNDUP(IF(AND($T$19&gt;1,$T$19&lt;2),IF($T$59=0,(($T$57*12)/$S$35)*($T$19-TRUNC($T$19)),(($T$59*12)/$S$35)*($T$23/$T$59)),IF($T$19&lt;1.0001,0,(($T$57*12)/$S$35))),0)</f>
        <v>0</v>
      </c>
      <c r="V38" s="5"/>
    </row>
    <row r="39" spans="19:22" x14ac:dyDescent="0.25">
      <c r="S39" s="5" t="s">
        <v>66</v>
      </c>
      <c r="T39" s="5">
        <f>ROUNDUP(IF(AND($S$19&gt;2,$S$19&lt;3),IF($T$59=0,(($T$57*12)/$S$35)*($S$19-TRUNC($S$19)),(($T$59*12)/$S$35)*($S$23/$T$59)),IF($S$19&lt;2.0001,0,(($T$57*12)/$S$35))),0)</f>
        <v>5</v>
      </c>
      <c r="U39" s="5">
        <f>ROUNDUP(IF(AND($T$19&gt;2,$T$19&lt;3),IF($T$59=0,(($T$57*12)/$S$35)*($T$19-TRUNC($T$19)),(($T$59*12)/$S$35)*($T$23/$T$59)),IF($T$19&lt;2.0001,0,(($T$57*12)/$S$35))),0)</f>
        <v>0</v>
      </c>
      <c r="V39" s="5"/>
    </row>
    <row r="40" spans="19:22" x14ac:dyDescent="0.25">
      <c r="S40" s="5" t="s">
        <v>67</v>
      </c>
      <c r="T40" s="5">
        <f>ROUNDUP(IF(AND($S$19&gt;3,$S$19&lt;4),IF($T$59=0,(($T$57*12)/$S$35)*($S$19-TRUNC($S$19)),(($T$59*12)/$S$35)*($S$23/$T$59)),IF($S$19&lt;3.0001,0,(($T$57*12)/$S$35))),0)</f>
        <v>0</v>
      </c>
      <c r="U40" s="5">
        <f>ROUNDUP(IF(AND($T$19&gt;3,$T$19&lt;4),IF($T$59=0,(($T$57*12)/$S$35)*($T$19-TRUNC($T$19)),(($T$59*12)/$S$35)*($T$23/$T$59)),IF($T$19&lt;3.0001,0,(($T$57*12)/$S$35))),0)</f>
        <v>0</v>
      </c>
      <c r="V40" s="5"/>
    </row>
    <row r="41" spans="19:22" x14ac:dyDescent="0.25">
      <c r="S41" s="5" t="s">
        <v>68</v>
      </c>
      <c r="T41" s="5">
        <f>ROUNDUP(IF(AND($S$19&gt;4,$S$19&lt;5),IF($T$59=0,(($T$57*12)/$S$35)*($S$19-TRUNC($S$19)),(($T$59*12)/$S$35)*($S$23/$T$59)),IF($S$19&lt;4.0001,0,(($T$57*12)/$S$35))),0)</f>
        <v>0</v>
      </c>
      <c r="U41" s="5">
        <f>ROUNDUP(IF(AND($T$19&gt;4,$T$19&lt;5),IF($T$59=0,(($T$57*12)/$S$35)*($T$19-TRUNC($T$19)),(($T$59*12)/$S$35)*($T$23/$T$59)),IF($T$19&lt;4.0001,0,(($T$57*12)/$S$35))),0)</f>
        <v>0</v>
      </c>
      <c r="V41" s="5"/>
    </row>
    <row r="42" spans="19:22" x14ac:dyDescent="0.25">
      <c r="S42" s="5" t="s">
        <v>69</v>
      </c>
      <c r="T42" s="5">
        <f>ROUNDUP(IF(AND($S$19&gt;5,$S$19&lt;6),IF($T$59=0,(($T$57*12)/$S$35)*($S$19-TRUNC($S$19)),(($T$59*12)/$S$35)*($S$23/$T$59)),IF($S$19&lt;5.0001,0,(($T$57*12)/$S$35))),0)</f>
        <v>0</v>
      </c>
      <c r="U42" s="5">
        <f>ROUNDUP(IF(AND($T$19&gt;5,$T$19&lt;6),IF($T$59=0,(($T$57*12)/$S$35)*($T$19-TRUNC($T$19)),(($T$59*12)/$S$35)*($T$23/$T$59)),IF($T$19&lt;5.0001,0,(($T$57*12)/$S$35))),0)</f>
        <v>0</v>
      </c>
      <c r="V42" s="5"/>
    </row>
    <row r="43" spans="19:22" x14ac:dyDescent="0.25">
      <c r="S43" s="5" t="s">
        <v>70</v>
      </c>
      <c r="T43" s="5">
        <f>ROUNDUP(IF(AND($S$19&gt;6,$S$19&lt;7),IF($T$59=0,(($T$57*12)/$S$35)*($S$19-TRUNC($S$19)),(($T$59*12)/$S$35)*($S$23/$T$59)),IF($S$19&lt;6.0001,0,(($T$57*12)/$S$35))),0)</f>
        <v>0</v>
      </c>
      <c r="U43" s="5">
        <f>ROUNDUP(IF(AND($T$19&gt;6,$T$19&lt;7),IF($T$59=0,(($T$57*12)/$S$35)*($T$19-TRUNC($T$19)),(($T$59*12)/$S$35)*($T$23/$T$59)),IF($T$19&lt;6.0001,0,(($T$57*12)/$S$35))),0)</f>
        <v>0</v>
      </c>
      <c r="V43" s="5"/>
    </row>
    <row r="44" spans="19:22" x14ac:dyDescent="0.25">
      <c r="S44" s="5"/>
      <c r="T44" s="5"/>
      <c r="U44" s="5"/>
      <c r="V44" s="5"/>
    </row>
    <row r="45" spans="19:22" x14ac:dyDescent="0.25">
      <c r="S45" s="5" t="s">
        <v>71</v>
      </c>
      <c r="T45" s="5"/>
      <c r="U45" s="5"/>
      <c r="V45" s="5"/>
    </row>
    <row r="46" spans="19:22" x14ac:dyDescent="0.25">
      <c r="S46" s="5" t="s">
        <v>72</v>
      </c>
      <c r="T46" s="5"/>
      <c r="U46" s="5"/>
      <c r="V46" s="5"/>
    </row>
    <row r="47" spans="19:22" x14ac:dyDescent="0.25">
      <c r="S47" s="5" t="s">
        <v>73</v>
      </c>
      <c r="T47" s="5"/>
      <c r="U47" s="5"/>
      <c r="V47" s="5"/>
    </row>
    <row r="48" spans="19:22" x14ac:dyDescent="0.25">
      <c r="S48" s="5" t="s">
        <v>13</v>
      </c>
      <c r="T48" s="5"/>
      <c r="U48" s="5"/>
      <c r="V48" s="5"/>
    </row>
    <row r="49" spans="19:22" x14ac:dyDescent="0.25">
      <c r="S49" s="5"/>
      <c r="T49" s="5"/>
      <c r="U49" s="5"/>
      <c r="V49" s="5"/>
    </row>
    <row r="50" spans="19:22" x14ac:dyDescent="0.25">
      <c r="S50" s="5" t="s">
        <v>74</v>
      </c>
      <c r="T50" s="5" t="s">
        <v>75</v>
      </c>
      <c r="U50" s="5" t="s">
        <v>76</v>
      </c>
      <c r="V50" s="5" t="s">
        <v>77</v>
      </c>
    </row>
    <row r="51" spans="19:22" x14ac:dyDescent="0.25">
      <c r="S51" s="5" t="s">
        <v>52</v>
      </c>
      <c r="T51" s="5" cm="1">
        <f t="array" ref="T51">IF($C$4&gt;=21,24,_xlfn.IFS($C$4&lt;=4,12,$C$4&lt;=5,12,$C$4&lt;=6,12,$C$4&lt;=7,16,$C$4&lt;=8,16,$C$4&lt;=9,20,$C$4&lt;=10,12,$C$4&lt;=11,12,$C$4&lt;=12,12,$C$4&lt;=16,16,$C$4&lt;=20,20))</f>
        <v>12</v>
      </c>
      <c r="U51" s="5">
        <f>ROUNDDOWN($T$51/$C$4,0)</f>
        <v>1</v>
      </c>
      <c r="V51" s="5">
        <f>ROUNDUP($T$58/$U$51,0)</f>
        <v>63</v>
      </c>
    </row>
    <row r="52" spans="19:22" x14ac:dyDescent="0.25">
      <c r="S52" s="5" t="s">
        <v>51</v>
      </c>
      <c r="T52" s="5" cm="1">
        <f t="array" ref="T52">IF($C$5&gt;=21,24,_xlfn.IFS($C$5&lt;=4,12,$C$5&lt;=5,12,$C$5&lt;=6,12,$C$5&lt;=7,16,$C$5&lt;=8,16,$C$5&lt;=9,20,$C$5&lt;=10,12,$C$5&lt;=11,12,$C$5&lt;=12,12,$C$5&lt;=16,16,$C$5&lt;=20,20))</f>
        <v>24</v>
      </c>
      <c r="U52" s="5">
        <f>ROUNDDOWN($T$52/$C$5,0)</f>
        <v>0</v>
      </c>
      <c r="V52" s="5" t="e">
        <f>ROUNDUP($T$58/$U$52,0)</f>
        <v>#DIV/0!</v>
      </c>
    </row>
    <row r="53" spans="19:22" x14ac:dyDescent="0.25">
      <c r="S53" s="5" t="s">
        <v>78</v>
      </c>
      <c r="T53" s="5"/>
      <c r="U53" s="5"/>
      <c r="V53" s="5"/>
    </row>
    <row r="54" spans="19:22" x14ac:dyDescent="0.25">
      <c r="S54" s="5" t="s">
        <v>52</v>
      </c>
      <c r="T54" s="5" cm="1">
        <f t="array" ref="T54">IF($T$23=0,0,IF($C$7&lt;=12,12,IF($C$7&lt;=16,_xlfn.IFS($T$23&lt;=4,16,$T$23&lt;=5,16,$T$23&lt;=6,12,$T$23&lt;=7,16,$T$23&lt;=8,16,$T$23&lt;=9,12,$T$23&lt;=10,12,$T$23&lt;=11,12,$T$23&lt;=12,12),IF($C$7&lt;=20,_xlfn.IFS($T$23&lt;=4,20,$T$23&lt;=5,20,$T$23&lt;=6,12,$T$23&lt;=7,16,$T$23&lt;=8,16,$T$23&lt;=9,20,$T$23&lt;=10,20,$T$23&lt;=11,12,$T$23&lt;=12,12),IF($C$7&lt;=24,_xlfn.IFS($T$23&lt;=4,24,$T$23&lt;=5,20,$T$23&lt;=6,24,$T$23&lt;=7,24,$T$23&lt;=8,24,$T$23&lt;=9,20,$T$23&lt;=10,20,$T$23&lt;=11,24,$T$23&lt;=12,24),0)))))</f>
        <v>0</v>
      </c>
      <c r="U54" s="5" t="e">
        <f>ROUNDDOWN($T$54/$T$23,0)</f>
        <v>#DIV/0!</v>
      </c>
      <c r="V54" s="5" t="e">
        <f>ROUNDUP($T$60/$U$54,0)</f>
        <v>#DIV/0!</v>
      </c>
    </row>
    <row r="55" spans="19:22" x14ac:dyDescent="0.25">
      <c r="S55" s="5" t="s">
        <v>51</v>
      </c>
      <c r="T55" s="5" cm="1">
        <f t="array" ref="T55">IF($S$23=0,0,IF($C$7&lt;=12,12,IF($C$7&lt;=16,_xlfn.IFS($S$23&lt;=4,16,$S$23&lt;=5,16,$S$23&lt;=6,12,$S$23&lt;=7,16,$S$23&lt;=8,16,$S$23&lt;=9,12,$S$23&lt;=10,12,$S$23&lt;=11,12,$S$23&lt;=12,12),IF($C$7&lt;=20,_xlfn.IFS($S$23&lt;=4,20,$S$23&lt;=5,20,$S$23&lt;=6,12,$S$23&lt;=7,16,$S$23&lt;=8,16,$S$23&lt;=9,20,$S$23&lt;=10,20,$S$23&lt;=11,12,$S$23&lt;=12,12),IF($C$7&lt;=24,_xlfn.IFS($S$23&lt;=4,24,$S$23&lt;=5,20,$S$23&lt;=6,24,$S$23&lt;=7,24,$S$23&lt;=8,24,$S$23&lt;=9,20,$S$23&lt;=10,20,$S$23&lt;=11,24,$S$23&lt;=12,24),0)))))</f>
        <v>12</v>
      </c>
      <c r="U55" s="5">
        <f>ROUNDDOWN($T$55/$S$23,0)</f>
        <v>2</v>
      </c>
      <c r="V55" s="5">
        <f>ROUNDUP($T$60/$U$55,0)</f>
        <v>0</v>
      </c>
    </row>
    <row r="56" spans="19:22" x14ac:dyDescent="0.25">
      <c r="S56" s="5"/>
      <c r="T56" s="5"/>
      <c r="U56" s="5"/>
      <c r="V56" s="5"/>
    </row>
    <row r="57" spans="19:22" x14ac:dyDescent="0.25">
      <c r="S57" s="5" t="s">
        <v>79</v>
      </c>
      <c r="T57" s="5" cm="1">
        <f t="array" ref="T57">IF($K$6="Parallel (To Home)",IF($C$5&gt;=21,24,_xlfn.IFS($C$5&lt;=12,12,$C$5&lt;=16,16,$C$5&lt;=20,20)),IF($C$4&gt;=21,24,_xlfn.IFS($C$4&lt;=12,12,$C$4&lt;=16,16,$C$4&lt;=20,20)))</f>
        <v>12</v>
      </c>
      <c r="U57" s="5"/>
      <c r="V57" s="5"/>
    </row>
    <row r="58" spans="19:22" x14ac:dyDescent="0.25">
      <c r="S58" s="5" t="s">
        <v>80</v>
      </c>
      <c r="T58" s="5">
        <f>IF($K$6="Parallel (To Home)",(IF($L$3="Tongue &amp; Groove",ROUNDUP(($C$4*12)/5.75,0),ROUNDUP(($C$4*12)/5.5,0)))*IF(T59=0,$S$17,IF($S$17=1,1,$S$17-1)),(IF($L$3="Tongue &amp; Groove",ROUNDUP(($C$5*12)/5.75,0),ROUNDUP(($C$5*12)/5.5,0))*IF(T59=0,$T$17,IF($T$17=1,1,$T$17-1))))</f>
        <v>63</v>
      </c>
      <c r="U58" s="5"/>
      <c r="V58" s="5"/>
    </row>
    <row r="59" spans="19:22" x14ac:dyDescent="0.25">
      <c r="S59" s="5" t="s">
        <v>81</v>
      </c>
      <c r="T59" s="5" cm="1">
        <f t="array" ref="T59">IF($K$6="Parallel (To Home)",_xlfn.IFS($S$23=0,0,$S$23&lt;=12,12,$S$23&lt;=16,16,$S$23&lt;=20,0,$S$23&gt;20,0),_xlfn.IFS($T$23=0,0,$T$23&lt;=12,12,$T$23&lt;=16,16,$T$23&lt;=20,20,$T$23&gt;20,0))</f>
        <v>0</v>
      </c>
      <c r="U59" s="5"/>
      <c r="V59" s="5"/>
    </row>
    <row r="60" spans="19:22" x14ac:dyDescent="0.25">
      <c r="S60" s="5" t="s">
        <v>82</v>
      </c>
      <c r="T60" s="5">
        <f>IF($T$59&lt;&gt;0,IF($K$6="Parallel (To Home)",IF($L$3="Tongue &amp; Groove",ROUNDUP(($C$4*12)/5.75,0),ROUNDUP(($C$4*12)/5.5,0)),IF($L$3="Tongue &amp; Groove",ROUNDUP(($C$5*12)/5.75,0),ROUNDUP(($C$5*12)/5.5,0))),0)</f>
        <v>0</v>
      </c>
      <c r="U60" s="5"/>
      <c r="V60" s="5"/>
    </row>
    <row r="61" spans="19:22" x14ac:dyDescent="0.25">
      <c r="S61" s="5"/>
      <c r="T61" s="5"/>
      <c r="U61" s="5"/>
      <c r="V61" s="5"/>
    </row>
    <row r="62" spans="19:22" x14ac:dyDescent="0.25">
      <c r="S62" s="5" t="s">
        <v>113</v>
      </c>
      <c r="T62" s="5"/>
      <c r="U62" s="5"/>
      <c r="V62" s="5"/>
    </row>
    <row r="63" spans="19:22" x14ac:dyDescent="0.25">
      <c r="S63" s="5" t="s">
        <v>20</v>
      </c>
      <c r="T63" s="5"/>
      <c r="U63" s="5"/>
      <c r="V63" s="5"/>
    </row>
    <row r="64" spans="19:22" x14ac:dyDescent="0.25">
      <c r="S64" s="5" t="s">
        <v>15</v>
      </c>
      <c r="T64" s="5"/>
      <c r="U64" s="5"/>
      <c r="V64" s="5"/>
    </row>
    <row r="65" spans="19:22" x14ac:dyDescent="0.25">
      <c r="S65" s="5"/>
      <c r="T65" s="5"/>
      <c r="U65" s="5"/>
      <c r="V65" s="5"/>
    </row>
    <row r="66" spans="19:22" x14ac:dyDescent="0.25">
      <c r="S66" s="5" t="s">
        <v>84</v>
      </c>
      <c r="T66" s="5" t="s">
        <v>85</v>
      </c>
      <c r="U66" s="5" t="s">
        <v>86</v>
      </c>
      <c r="V66" s="5" t="s">
        <v>87</v>
      </c>
    </row>
    <row r="67" spans="19:22" x14ac:dyDescent="0.25">
      <c r="S67" s="5">
        <f>IF(($C$13+$C$16+$C$20+$C$23)&gt;740,1,0)</f>
        <v>1</v>
      </c>
      <c r="T67" s="5">
        <f>IF(($C$13+$C$16+$C$20+$C$23)&lt;=185,1,IF(($C$13+$C$16+$C$20+$C$23)&lt;=370,2,IF(($C$13+$C$16+$C$20+$C$23)&lt;=555,2,IF(($C$13+$C$16+$C$20+$C$23)&lt;=740,4,0))))</f>
        <v>0</v>
      </c>
      <c r="U67" s="5">
        <f>SUM(S67:S73)</f>
        <v>1</v>
      </c>
      <c r="V67" s="5">
        <f>SUM(T67:T73)</f>
        <v>2</v>
      </c>
    </row>
    <row r="68" spans="19:22" x14ac:dyDescent="0.25">
      <c r="S68" s="5">
        <f>IF(($C$13+$C$16+$C$20+$C$23)&gt;1640,1,0)</f>
        <v>0</v>
      </c>
      <c r="T68" s="5">
        <f>IF(($C$13+$C$16+$C$20+$C$23)&gt;900,IF(($C$13+$C$16+$C$20+$C$23)&lt;1085,1,IF(($C$13+$C$16+$C$20+$C$23)&lt;=1270,2,IF(($C$13+$C$16+$C$20+$C$23)&lt;=1455,3,IF(($C$13+$C$16+$C$20+$C$23)&lt;=1640,4,0)))),0)</f>
        <v>2</v>
      </c>
      <c r="U68" s="5"/>
      <c r="V68" s="5"/>
    </row>
    <row r="69" spans="19:22" x14ac:dyDescent="0.25">
      <c r="S69" s="5">
        <f>IF(($C$13+$C$16+$C$20+$C$23)&gt;2540,1,0)</f>
        <v>0</v>
      </c>
      <c r="T69" s="5">
        <f>IF(($C$13+$C$16+$C$20+$C$23)&gt;1800,IF(($C$13+$C$16+$C$20+$C$23)&lt;=1985,1,IF(($C$13+$C$16+$C$20+$C$23)&lt;=2170,2,IF(($C$13+$C$16+$C$20+$C$23)&lt;=2355,3,IF(($C$13+$C$16+$C$20+$C$23)&lt;=2540,4,0)))),0)</f>
        <v>0</v>
      </c>
      <c r="U69" s="5"/>
      <c r="V69" s="5"/>
    </row>
    <row r="70" spans="19:22" x14ac:dyDescent="0.25">
      <c r="S70" s="5">
        <f>IF(($C$13+$C$16+$C$20+$C$23)&gt;3440,1,0)</f>
        <v>0</v>
      </c>
      <c r="T70" s="5">
        <f>IF(($C$13+$C$16+$C$20+$C$23)&gt;2700,IF(($C$13+$C$16+$C$20+$C$23)&lt;=2885,1,IF(($C$13+$C$16+$C$20+$C$23)&lt;=3070,2,IF(($C$13+$C$16+$C$20+$C$23)&lt;=3255,3,IF(($C$13+$C$16+$C$20+$C$23)&lt;=3440,4,0)))),0)</f>
        <v>0</v>
      </c>
      <c r="U70" s="5"/>
      <c r="V70" s="5"/>
    </row>
    <row r="71" spans="19:22" x14ac:dyDescent="0.25">
      <c r="S71" s="5">
        <f>IF(($C$13+$C$16+$C$20+$C$23)&gt;4340,1,0)</f>
        <v>0</v>
      </c>
      <c r="T71" s="5">
        <f>IF(($C$13+$C$16+$C$20+$C$23)&gt;3600,IF(($C$13+$C$16+$C$20+$C$23)&lt;=3785,1,IF(($C$13+$C$16+$C$20+$C$23)&lt;=3970,2,IF(($C$13+$C$16+$C$20+$C$23)&lt;=4155,3,IF(($C$13+$C$16+$C$20+$C$23)&lt;=4340,4,0)))),0)</f>
        <v>0</v>
      </c>
      <c r="U71" s="5"/>
      <c r="V71" s="5"/>
    </row>
    <row r="72" spans="19:22" x14ac:dyDescent="0.25">
      <c r="S72" s="5">
        <f>IF(($C$13+$C$16+$C$20+$C$23)&gt;5240,1,0)</f>
        <v>0</v>
      </c>
      <c r="T72" s="5">
        <f>IF(($C$13+$C$16+$C$20+$C$23)&gt;4500,IF(($C$13+$C$16+$C$20+$C$23)&lt;=4685,1,IF(($C$13+$C$16+$C$20+$C$23)&lt;=4870,2,IF(($C$13+$C$16+$C$20+$C$23)&lt;=5055,3,IF(($C$13+$C$16+$C$20+$C$23)&lt;=5240,4,0)))),0)</f>
        <v>0</v>
      </c>
      <c r="U72" s="5"/>
      <c r="V72" s="5"/>
    </row>
    <row r="73" spans="19:22" x14ac:dyDescent="0.25">
      <c r="S73" s="5">
        <f>IF(($C$13+$C$16+$C$20+$C$23)&gt;6140,1,0)</f>
        <v>0</v>
      </c>
      <c r="T73" s="5">
        <f>IF(($C$13+$C$16+$C$20+$C$23)&gt;5400,IF(($C$13+$C$16+$C$20+$C$23)&lt;=5585,1,IF(($C$13+$C$16+$C$20+$C$23)&lt;=5770,2,IF(($C$13+$C$16+$C$20+$C$23)&lt;=5955,3,IF(($C$13+$C$16+$C$20+$C$23)&lt;=6140,4,0)))),0)</f>
        <v>0</v>
      </c>
      <c r="U73" s="5"/>
      <c r="V73" s="5"/>
    </row>
    <row r="74" spans="19:22" x14ac:dyDescent="0.25">
      <c r="S74" s="5"/>
      <c r="T74" s="5"/>
      <c r="U74" s="5"/>
      <c r="V74" s="5"/>
    </row>
  </sheetData>
  <sheetProtection sheet="1" objects="1" scenarios="1"/>
  <sortState xmlns:xlrd2="http://schemas.microsoft.com/office/spreadsheetml/2017/richdata2" ref="B14:C14">
    <sortCondition sortBy="cellColor" ref="B14"/>
  </sortState>
  <mergeCells count="4">
    <mergeCell ref="B18:C18"/>
    <mergeCell ref="B15:C15"/>
    <mergeCell ref="G12:H12"/>
    <mergeCell ref="A1:XFD1"/>
  </mergeCells>
  <dataValidations count="8">
    <dataValidation type="list" allowBlank="1" showInputMessage="1" showErrorMessage="1" sqref="L3" xr:uid="{4D54BC43-2165-4943-AC4B-83E648A791B9}">
      <formula1>$S$3:$S$4</formula1>
    </dataValidation>
    <dataValidation type="list" allowBlank="1" showInputMessage="1" showErrorMessage="1" sqref="K6" xr:uid="{9DBBE0DB-1ADA-45A9-9AE4-84426261A1DD}">
      <formula1>$S$12:$S$13</formula1>
    </dataValidation>
    <dataValidation type="list" allowBlank="1" showInputMessage="1" showErrorMessage="1" sqref="L6" xr:uid="{6DF65444-3F87-494B-B298-ED7DC679247B}">
      <formula1>$S$7:$S$9</formula1>
    </dataValidation>
    <dataValidation type="list" allowBlank="1" showInputMessage="1" showErrorMessage="1" sqref="M6" xr:uid="{4A36FC39-FB37-49C1-A5A5-9438065882E5}">
      <formula1>$S$29:$S$30</formula1>
    </dataValidation>
    <dataValidation type="list" allowBlank="1" showInputMessage="1" showErrorMessage="1" sqref="J3" xr:uid="{6ABAE042-FC10-43D8-A586-51DF6A4137C5}">
      <formula1>$S$46:$S$48</formula1>
    </dataValidation>
    <dataValidation type="list" allowBlank="1" showInputMessage="1" showErrorMessage="1" sqref="M3" xr:uid="{30D71758-EA1C-4408-95AD-31E9473AFC61}">
      <formula1>$S$63:$S$64</formula1>
    </dataValidation>
    <dataValidation type="list" allowBlank="1" showInputMessage="1" showErrorMessage="1" sqref="K3" xr:uid="{86574D4B-8A82-4A96-9E07-85DB66C02094}">
      <formula1>$T$3:$T$5</formula1>
    </dataValidation>
    <dataValidation type="list" allowBlank="1" showInputMessage="1" showErrorMessage="1" sqref="J6" xr:uid="{EDE7F0AE-7F0B-4624-AFDF-E91CDEB4B969}">
      <formula1>$T$8:$T$9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DuxxBak</vt:lpstr>
      <vt:lpstr>OPTIMA Dekk LT</vt:lpstr>
      <vt:lpstr>OPTIMA Dekk</vt:lpstr>
      <vt:lpstr>I.Dekk</vt:lpstr>
      <vt:lpstr>I.Dekk HD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William Schroeder</dc:creator>
  <cp:keywords/>
  <dc:description/>
  <cp:lastModifiedBy>William Schroeder</cp:lastModifiedBy>
  <cp:revision/>
  <dcterms:created xsi:type="dcterms:W3CDTF">2025-04-03T19:37:33Z</dcterms:created>
  <dcterms:modified xsi:type="dcterms:W3CDTF">2025-04-23T20:33:14Z</dcterms:modified>
  <cp:category/>
  <cp:contentStatus/>
</cp:coreProperties>
</file>